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5" yWindow="4065" windowWidth="20550" windowHeight="4110" tabRatio="621" activeTab="1"/>
  </bookViews>
  <sheets>
    <sheet name="Introduction" sheetId="20" r:id="rId1"/>
    <sheet name="Calculator" sheetId="19" r:id="rId2"/>
    <sheet name="Hidden calcs1" sheetId="1" state="hidden" r:id="rId3"/>
  </sheets>
  <definedNames>
    <definedName name="capex_ship1">Calculator!$B$219</definedName>
    <definedName name="capex_ship2">Calculator!$C$219</definedName>
    <definedName name="capex_ship3">Calculator!$D$219</definedName>
    <definedName name="capex_ship4">Calculator!$E$219</definedName>
    <definedName name="capex_ship5">Calculator!$F$219</definedName>
    <definedName name="capex_ship6">Calculator!$G$219</definedName>
    <definedName name="diff_2015_hi">Calculator!$E$186</definedName>
    <definedName name="diff_2015_lo">Calculator!$C$186</definedName>
    <definedName name="diff_2015_med">Calculator!$D$186</definedName>
    <definedName name="diff_2020_hi">Calculator!$E$187</definedName>
    <definedName name="diff_2020_lo">Calculator!$C$187</definedName>
    <definedName name="diff_2020_med">Calculator!$D$187</definedName>
    <definedName name="dr_hi_ship1">Calculator!$B$246</definedName>
    <definedName name="dr_hi_ship2">Calculator!$C$246</definedName>
    <definedName name="dr_hi_ship3">Calculator!$D$246</definedName>
    <definedName name="dr_hi_ship4">Calculator!$E$246</definedName>
    <definedName name="dr_hi_ship5">Calculator!$F$246</definedName>
    <definedName name="dr_hi_ship6">Calculator!$G$246</definedName>
    <definedName name="dr_lo_ship1">Calculator!$B$244</definedName>
    <definedName name="dr_lo_ship2">Calculator!$C$244</definedName>
    <definedName name="dr_lo_ship3">Calculator!$D$244</definedName>
    <definedName name="dr_lo_ship4">Calculator!$E$244</definedName>
    <definedName name="dr_lo_ship5">Calculator!$F$244</definedName>
    <definedName name="dr_lo_ship6">Calculator!$G$244</definedName>
    <definedName name="dr_med_ship1">Calculator!$B$245</definedName>
    <definedName name="dr_med_ship2">Calculator!$C$245</definedName>
    <definedName name="dr_med_ship3">Calculator!$D$245</definedName>
    <definedName name="dr_med_ship4">Calculator!$E$245</definedName>
    <definedName name="dr_med_ship5">Calculator!$F$245</definedName>
    <definedName name="dr_med_ship6">Calculator!$G$245</definedName>
    <definedName name="dr_plotted">Calculator!$M$282</definedName>
    <definedName name="egcs_year_ship1">Calculator!$B$210</definedName>
    <definedName name="egcs_year_ship2">Calculator!$C$210</definedName>
    <definedName name="egcs_year_ship3">Calculator!$D$210</definedName>
    <definedName name="egcs_year_ship4">Calculator!$E$210</definedName>
    <definedName name="egcs_year_ship5">Calculator!$F$210</definedName>
    <definedName name="egcs_year_ship6">Calculator!$G$210</definedName>
    <definedName name="fuel_scenario_plot">Calculator!$R$187</definedName>
    <definedName name="fuel_type_plot">Calculator!$R$186</definedName>
    <definedName name="fuel_type1">Calculator!$B$63</definedName>
    <definedName name="fuel_type1_0.1">Calculator!$C$182</definedName>
    <definedName name="fuel_type1_0.5">Calculator!$C$181</definedName>
    <definedName name="fuel_type1_1.0">Calculator!$C$180</definedName>
    <definedName name="fuel_type1_cal0.1">Calculator!$N$194</definedName>
    <definedName name="fuel_type1_cal0.5">Calculator!$N$193</definedName>
    <definedName name="fuel_type1_cal1.0">Calculator!$N$192</definedName>
    <definedName name="fuel_type1_scrubbed_ship1">Calculator!$B$215</definedName>
    <definedName name="fuel_type1_scrubbed_ship2">Calculator!$C$215</definedName>
    <definedName name="fuel_type1_scrubbed_ship3">Calculator!$D$215</definedName>
    <definedName name="fuel_type1_scrubbed_ship4">Calculator!$E$215</definedName>
    <definedName name="fuel_type1_scrubbed_ship5">Calculator!$F$215</definedName>
    <definedName name="fuel_type1_scrubbed_ship6">Calculator!$G$215</definedName>
    <definedName name="fuel_type1_today">Calculator!$C$176</definedName>
    <definedName name="fuel_type2">Calculator!$C$63</definedName>
    <definedName name="fuel_type2_0.1">Calculator!$E$182</definedName>
    <definedName name="fuel_type2_0.5">Calculator!$E$181</definedName>
    <definedName name="fuel_type2_1.0">Calculator!$E$180</definedName>
    <definedName name="fuel_type2_cal0.1">Calculator!$O$194</definedName>
    <definedName name="fuel_type2_cal0.5">Calculator!$O$193</definedName>
    <definedName name="fuel_type2_cal1.0">Calculator!$O$192</definedName>
    <definedName name="fuel_type2_scrubbed_ship1">Calculator!$B$216</definedName>
    <definedName name="fuel_type2_scrubbed_ship2">Calculator!$C$216</definedName>
    <definedName name="fuel_type2_scrubbed_ship3">Calculator!$D$216</definedName>
    <definedName name="fuel_type2_scrubbed_ship4">Calculator!$E$216</definedName>
    <definedName name="fuel_type2_scrubbed_ship5">Calculator!$F$216</definedName>
    <definedName name="fuel_type2_scrubbed_ship6">Calculator!$G$216</definedName>
    <definedName name="fuel_type2_today">Calculator!$D$176</definedName>
    <definedName name="fuel_type3">Calculator!$D$63</definedName>
    <definedName name="fuel_type3_0.1">Calculator!$G$182</definedName>
    <definedName name="fuel_type3_0.5">Calculator!$G$181</definedName>
    <definedName name="fuel_type3_1.0">Calculator!$G$180</definedName>
    <definedName name="fuel_type3_cal0.1">Calculator!$P$194</definedName>
    <definedName name="fuel_type3_cal0.5">Calculator!$P$193</definedName>
    <definedName name="fuel_type3_cal1.0">Calculator!$P$192</definedName>
    <definedName name="fuel_type3_scrubbed_ship1">Calculator!$B$217</definedName>
    <definedName name="fuel_type3_scrubbed_ship2">Calculator!$C$217</definedName>
    <definedName name="fuel_type3_scrubbed_ship3">Calculator!$D$217</definedName>
    <definedName name="fuel_type3_scrubbed_ship4">Calculator!$E$217</definedName>
    <definedName name="fuel_type3_scrubbed_ship5">Calculator!$F$217</definedName>
    <definedName name="fuel_type3_scrubbed_ship6">Calculator!$G$217</definedName>
    <definedName name="fuel_type3_today">Calculator!$E$176</definedName>
    <definedName name="fuel_type4">Calculator!$E$63</definedName>
    <definedName name="fuel_type4_0.1">Calculator!$I$182</definedName>
    <definedName name="fuel_type4_0.5">Calculator!$I$181</definedName>
    <definedName name="fuel_type4_1.0">Calculator!$I$180</definedName>
    <definedName name="fuel_type4_cal0.1">Calculator!$Q$194</definedName>
    <definedName name="fuel_type4_cal0.5">Calculator!$Q$193</definedName>
    <definedName name="fuel_type4_cal1.0">Calculator!$Q$192</definedName>
    <definedName name="fuel_type4_scrubbed_ship1">Calculator!$B$218</definedName>
    <definedName name="fuel_type4_scrubbed_ship2">Calculator!$C$218</definedName>
    <definedName name="fuel_type4_scrubbed_ship3">Calculator!$D$218</definedName>
    <definedName name="fuel_type4_scrubbed_ship4">Calculator!$E$218</definedName>
    <definedName name="fuel_type4_scrubbed_ship5">Calculator!$F$218</definedName>
    <definedName name="fuel_type4_scrubbed_ship6">Calculator!$G$218</definedName>
    <definedName name="fuel_type4_today">Calculator!$F$176</definedName>
    <definedName name="global0.5">Calculator!$B$189</definedName>
    <definedName name="increase_hi">Calculator!$E$185</definedName>
    <definedName name="increase_lo">Calculator!$C$185</definedName>
    <definedName name="increase_med">Calculator!$D$185</definedName>
    <definedName name="mach_egcs_ship1">Calculator!$B$232</definedName>
    <definedName name="mach_egcs_ship2">Calculator!$C$232</definedName>
    <definedName name="mach_egcs_ship3">Calculator!$D$232</definedName>
    <definedName name="mach_egcs_ship4">Calculator!$E$232</definedName>
    <definedName name="mach_egcs_ship5">Calculator!$F$232</definedName>
    <definedName name="mach_egcs_ship6">Calculator!$G$232</definedName>
    <definedName name="mode1">Calculator!$B$27</definedName>
    <definedName name="mode2">Calculator!$B$28</definedName>
    <definedName name="mode3">Calculator!$B$29</definedName>
    <definedName name="mode4">Calculator!$B$30</definedName>
    <definedName name="mode5">Calculator!$B$31</definedName>
    <definedName name="npv_year_zero">Calculator!$M$387</definedName>
    <definedName name="opex_fixed_ship1">Calculator!$B$229</definedName>
    <definedName name="opex_fixed_ship2">Calculator!$C$229</definedName>
    <definedName name="opex_fixed_ship3">Calculator!$D$229</definedName>
    <definedName name="opex_fixed_ship4">Calculator!$E$229</definedName>
    <definedName name="opex_fixed_ship5">Calculator!$F$229</definedName>
    <definedName name="opex_fixed_ship6">Calculator!$G$229</definedName>
    <definedName name="opex_variable_ship1">Calculator!$B$226</definedName>
    <definedName name="opex_variable_ship2">Calculator!$C$226</definedName>
    <definedName name="opex_variable_ship3">Calculator!$D$226</definedName>
    <definedName name="opex_variable_ship4">Calculator!$E$226</definedName>
    <definedName name="opex_variable_ship5">Calculator!$F$226</definedName>
    <definedName name="opex_variable_ship6">Calculator!$G$226</definedName>
    <definedName name="payback">Calculator!$B$411</definedName>
    <definedName name="power_egcs_ship1">Calculator!$B$231</definedName>
    <definedName name="power_egcs_ship2">Calculator!$C$231</definedName>
    <definedName name="power_egcs_ship3">Calculator!$D$231</definedName>
    <definedName name="power_egcs_ship4">Calculator!$E$231</definedName>
    <definedName name="power_egcs_ship5">Calculator!$F$231</definedName>
    <definedName name="power_egcs_ship6">Calculator!$G$231</definedName>
    <definedName name="_xlnm.Print_Area" localSheetId="1">Calculator!$A$1:$K$486</definedName>
    <definedName name="_xlnm.Print_Area" localSheetId="0">Introduction!$A$1:$K$67</definedName>
    <definedName name="scenario_display">Calculator!$B$261</definedName>
    <definedName name="ship_plot">Calculator!$B$262</definedName>
    <definedName name="ship1">Calculator!$B$33</definedName>
    <definedName name="ship1_fuel_type1">Calculator!$B$152</definedName>
    <definedName name="ship1_fuel_type1_added">Calculator!$B$237</definedName>
    <definedName name="ship1_fuel_type2">Calculator!$B$153</definedName>
    <definedName name="ship1_fuel_type2_added">Calculator!$B$238</definedName>
    <definedName name="ship1_fuel_type3">Calculator!$B$154</definedName>
    <definedName name="ship1_fuel_type3_added">Calculator!$B$239</definedName>
    <definedName name="ship1_fuel_type4">Calculator!$B$155</definedName>
    <definedName name="ship1_fuel_type4_added">Calculator!$B$240</definedName>
    <definedName name="ship1_ifo180">Calculator!$B$153</definedName>
    <definedName name="ship1_ifo380">Calculator!$B$152</definedName>
    <definedName name="ship1_mdo">Calculator!$B$154</definedName>
    <definedName name="ship1_mgo">Calculator!$B$155</definedName>
    <definedName name="ship1_timeECA">Calculator!$B$55</definedName>
    <definedName name="ship2">Calculator!$C$33</definedName>
    <definedName name="ship2_fuel_type1">Calculator!$C$152</definedName>
    <definedName name="ship2_fuel_type1_added">Calculator!$C$237</definedName>
    <definedName name="ship2_fuel_type1_withS">Calculator!$C$237</definedName>
    <definedName name="ship2_fuel_type2">Calculator!$C$153</definedName>
    <definedName name="ship2_fuel_type2_added">Calculator!$C$238</definedName>
    <definedName name="ship2_fuel_type2_withS">Calculator!$C$238</definedName>
    <definedName name="ship2_fuel_type3">Calculator!$C$154</definedName>
    <definedName name="ship2_fuel_type3_added">Calculator!$C$239</definedName>
    <definedName name="ship2_fuel_type3_withS">Calculator!$C$239</definedName>
    <definedName name="ship2_fuel_type4">Calculator!$C$155</definedName>
    <definedName name="ship2_fuel_type4_added">Calculator!$C$240</definedName>
    <definedName name="ship2_fuel_type4_withS">Calculator!$C$240</definedName>
    <definedName name="ship2_ifo180">Calculator!$C$153</definedName>
    <definedName name="ship2_ifo380">Calculator!$C$152</definedName>
    <definedName name="ship2_mdo">Calculator!$C$154</definedName>
    <definedName name="ship2_mgo">Calculator!$C$155</definedName>
    <definedName name="ship2_timeECA">Calculator!$C$55</definedName>
    <definedName name="ship3">Calculator!$D$33</definedName>
    <definedName name="ship3_fuel_type1">Calculator!$D$152</definedName>
    <definedName name="ship3_fuel_type1_added">Calculator!$D$237</definedName>
    <definedName name="ship3_fuel_type1_withS">Calculator!$D$237</definedName>
    <definedName name="ship3_fuel_type2">Calculator!$D$153</definedName>
    <definedName name="ship3_fuel_type2_added">Calculator!$D$238</definedName>
    <definedName name="ship3_fuel_type2_withS">Calculator!$D$238</definedName>
    <definedName name="ship3_fuel_type3">Calculator!$D$154</definedName>
    <definedName name="ship3_fuel_type3_added">Calculator!$D$239</definedName>
    <definedName name="ship3_fuel_type3_withS">Calculator!$D$239</definedName>
    <definedName name="ship3_fuel_type4">Calculator!$D$155</definedName>
    <definedName name="ship3_fuel_type4_added">Calculator!$D$240</definedName>
    <definedName name="ship3_fuel_type4_withS">Calculator!$D$240</definedName>
    <definedName name="ship3_ifo180">Calculator!$D$153</definedName>
    <definedName name="ship3_ifo380">Calculator!$D$152</definedName>
    <definedName name="ship3_mdo">Calculator!$D$154</definedName>
    <definedName name="ship3_mgo">Calculator!$D$155</definedName>
    <definedName name="ship3_timeECA">Calculator!$D$55</definedName>
    <definedName name="ship4">Calculator!$E$33</definedName>
    <definedName name="ship4_fuel_type1">Calculator!$E$152</definedName>
    <definedName name="ship4_fuel_type1_added">Calculator!$E$237</definedName>
    <definedName name="ship4_fuel_type1_withS">Calculator!$E$237</definedName>
    <definedName name="ship4_fuel_type2">Calculator!$E$153</definedName>
    <definedName name="ship4_fuel_type2_added">Calculator!$E$238</definedName>
    <definedName name="ship4_fuel_type2_withS">Calculator!$E$238</definedName>
    <definedName name="ship4_fuel_type3">Calculator!$E$154</definedName>
    <definedName name="ship4_fuel_type3_added">Calculator!$E$239</definedName>
    <definedName name="ship4_fuel_type3_withS">Calculator!$E$239</definedName>
    <definedName name="ship4_fuel_type4">Calculator!$E$155</definedName>
    <definedName name="ship4_fuel_type4_added">Calculator!$E$240</definedName>
    <definedName name="ship4_fuel_type4_withS">Calculator!$E$240</definedName>
    <definedName name="ship4_ifo180">Calculator!$E$153</definedName>
    <definedName name="ship4_ifo380">Calculator!$E$152</definedName>
    <definedName name="ship4_mdo">Calculator!$E$154</definedName>
    <definedName name="ship4_mgo">Calculator!$E$155</definedName>
    <definedName name="ship4_timeECA">Calculator!$E$55</definedName>
    <definedName name="ship5">Calculator!$F$33</definedName>
    <definedName name="ship5_fuel_type1">Calculator!$F$152</definedName>
    <definedName name="ship5_fuel_type1_added">Calculator!$F$237</definedName>
    <definedName name="ship5_fuel_type1_withS">Calculator!$F$237</definedName>
    <definedName name="ship5_fuel_type2">Calculator!$F$153</definedName>
    <definedName name="ship5_fuel_type2_added">Calculator!$F$238</definedName>
    <definedName name="ship5_fuel_type2_withS">Calculator!$F$238</definedName>
    <definedName name="ship5_fuel_type3">Calculator!$F$154</definedName>
    <definedName name="ship5_fuel_type3_added">Calculator!$F$239</definedName>
    <definedName name="ship5_fuel_type3_withS">Calculator!$F$239</definedName>
    <definedName name="ship5_fuel_type4">Calculator!$F$155</definedName>
    <definedName name="ship5_fuel_type4_added">Calculator!$F$240</definedName>
    <definedName name="ship5_fuel_type4_withS">Calculator!$F$240</definedName>
    <definedName name="ship5_ifo180">Calculator!$F$153</definedName>
    <definedName name="ship5_ifo380">Calculator!$F$152</definedName>
    <definedName name="ship5_mdo">Calculator!$F$154</definedName>
    <definedName name="ship5_mgo">Calculator!$F$155</definedName>
    <definedName name="ship5_timeECA">Calculator!$F$55</definedName>
    <definedName name="ship6">Calculator!$G$33</definedName>
    <definedName name="ship6_fuel_type1">Calculator!$G$152</definedName>
    <definedName name="ship6_fuel_type1_added">Calculator!$G$237</definedName>
    <definedName name="ship6_fuel_type1_withS">Calculator!$G$237</definedName>
    <definedName name="ship6_fuel_type2">Calculator!$G$153</definedName>
    <definedName name="ship6_fuel_type2_added">Calculator!$G$238</definedName>
    <definedName name="ship6_fuel_type2_withS">Calculator!$G$238</definedName>
    <definedName name="ship6_fuel_type3">Calculator!$G$154</definedName>
    <definedName name="ship6_fuel_type3_added">Calculator!$G$239</definedName>
    <definedName name="ship6_fuel_type3_withS">Calculator!$G$239</definedName>
    <definedName name="ship6_fuel_type4">Calculator!$G$155</definedName>
    <definedName name="ship6_fuel_type4_added">Calculator!$G$240</definedName>
    <definedName name="ship6_fuel_type4_withS">Calculator!$G$240</definedName>
    <definedName name="ship6_ifo180">Calculator!$G$153</definedName>
    <definedName name="ship6_ifo380">Calculator!$G$152</definedName>
    <definedName name="ship6_mdo">Calculator!$G$154</definedName>
    <definedName name="ship6_mgo">Calculator!$G$155</definedName>
    <definedName name="ship6_timeECA">Calculator!$G$55</definedName>
    <definedName name="year_interrogation">Calculator!$B$307</definedName>
    <definedName name="year_plot">Calculator!$B$415</definedName>
  </definedNames>
  <calcPr calcId="145621"/>
</workbook>
</file>

<file path=xl/calcChain.xml><?xml version="1.0" encoding="utf-8"?>
<calcChain xmlns="http://schemas.openxmlformats.org/spreadsheetml/2006/main">
  <c r="B88" i="19" l="1"/>
  <c r="B152" i="19" s="1"/>
  <c r="B113" i="19"/>
  <c r="B138" i="19"/>
  <c r="B149" i="19"/>
  <c r="A4" i="1"/>
  <c r="D4" i="1"/>
  <c r="E4" i="1" s="1"/>
  <c r="D5" i="1"/>
  <c r="E5" i="1"/>
  <c r="D6" i="1"/>
  <c r="E6" i="1" s="1"/>
  <c r="D7" i="1"/>
  <c r="E7" i="1" s="1"/>
  <c r="F7" i="1" s="1"/>
  <c r="A8" i="1"/>
  <c r="D8" i="1"/>
  <c r="E8" i="1"/>
  <c r="D9" i="1"/>
  <c r="E9" i="1"/>
  <c r="D10" i="1"/>
  <c r="E10" i="1"/>
  <c r="D11" i="1"/>
  <c r="E11" i="1"/>
  <c r="F11" i="1" s="1"/>
  <c r="A12" i="1"/>
  <c r="D12" i="1"/>
  <c r="E12" i="1"/>
  <c r="D13" i="1"/>
  <c r="E13" i="1"/>
  <c r="D14" i="1"/>
  <c r="E14" i="1"/>
  <c r="D15" i="1"/>
  <c r="E15" i="1"/>
  <c r="F15" i="1" s="1"/>
  <c r="A16" i="1"/>
  <c r="D16" i="1"/>
  <c r="E16" i="1" s="1"/>
  <c r="F16" i="1" s="1"/>
  <c r="G16" i="1"/>
  <c r="H16" i="1" s="1"/>
  <c r="I16" i="1"/>
  <c r="J16" i="1" s="1"/>
  <c r="D17" i="1"/>
  <c r="E17" i="1"/>
  <c r="D18" i="1"/>
  <c r="E18" i="1" s="1"/>
  <c r="F18" i="1"/>
  <c r="G18" i="1" s="1"/>
  <c r="H18" i="1" s="1"/>
  <c r="I18" i="1" s="1"/>
  <c r="J18" i="1" s="1"/>
  <c r="K18" i="1" s="1"/>
  <c r="L18" i="1" s="1"/>
  <c r="M18" i="1" s="1"/>
  <c r="N18" i="1" s="1"/>
  <c r="O18" i="1" s="1"/>
  <c r="P18" i="1" s="1"/>
  <c r="Q18" i="1" s="1"/>
  <c r="R18" i="1" s="1"/>
  <c r="S18" i="1" s="1"/>
  <c r="T18" i="1" s="1"/>
  <c r="U18" i="1" s="1"/>
  <c r="V18" i="1" s="1"/>
  <c r="W18" i="1" s="1"/>
  <c r="X18" i="1" s="1"/>
  <c r="Y18" i="1" s="1"/>
  <c r="Z18" i="1" s="1"/>
  <c r="D19" i="1"/>
  <c r="E19" i="1" s="1"/>
  <c r="F19" i="1" s="1"/>
  <c r="A20" i="1"/>
  <c r="D20" i="1"/>
  <c r="E20" i="1" s="1"/>
  <c r="D21" i="1"/>
  <c r="E21" i="1"/>
  <c r="D22" i="1"/>
  <c r="E22" i="1" s="1"/>
  <c r="D23" i="1"/>
  <c r="E23" i="1"/>
  <c r="F23" i="1"/>
  <c r="G23" i="1" s="1"/>
  <c r="H23" i="1" s="1"/>
  <c r="I23" i="1" s="1"/>
  <c r="J23" i="1"/>
  <c r="K23" i="1" s="1"/>
  <c r="L23" i="1" s="1"/>
  <c r="M23" i="1"/>
  <c r="N23" i="1" s="1"/>
  <c r="O23" i="1" s="1"/>
  <c r="P23" i="1" s="1"/>
  <c r="Q23" i="1" s="1"/>
  <c r="R23" i="1" s="1"/>
  <c r="S23" i="1" s="1"/>
  <c r="T23" i="1" s="1"/>
  <c r="U23" i="1" s="1"/>
  <c r="V23" i="1" s="1"/>
  <c r="W23" i="1" s="1"/>
  <c r="X23" i="1" s="1"/>
  <c r="Y23" i="1" s="1"/>
  <c r="Z23" i="1" s="1"/>
  <c r="A24" i="1"/>
  <c r="D24" i="1"/>
  <c r="E24" i="1"/>
  <c r="F24" i="1"/>
  <c r="D25" i="1"/>
  <c r="E25" i="1" s="1"/>
  <c r="D26" i="1"/>
  <c r="E26" i="1" s="1"/>
  <c r="F26" i="1"/>
  <c r="G26" i="1" s="1"/>
  <c r="H26" i="1" s="1"/>
  <c r="I26" i="1"/>
  <c r="J26" i="1" s="1"/>
  <c r="K26" i="1" s="1"/>
  <c r="L26" i="1" s="1"/>
  <c r="M26" i="1"/>
  <c r="N26" i="1" s="1"/>
  <c r="O26" i="1" s="1"/>
  <c r="P26" i="1" s="1"/>
  <c r="Q26" i="1" s="1"/>
  <c r="R26" i="1" s="1"/>
  <c r="S26" i="1" s="1"/>
  <c r="T26" i="1" s="1"/>
  <c r="U26" i="1" s="1"/>
  <c r="V26" i="1" s="1"/>
  <c r="W26" i="1" s="1"/>
  <c r="X26" i="1" s="1"/>
  <c r="Y26" i="1" s="1"/>
  <c r="Z26" i="1" s="1"/>
  <c r="D27" i="1"/>
  <c r="E27" i="1"/>
  <c r="F27" i="1"/>
  <c r="G27" i="1" s="1"/>
  <c r="H27" i="1" s="1"/>
  <c r="I27" i="1" s="1"/>
  <c r="J27" i="1"/>
  <c r="K27" i="1" s="1"/>
  <c r="L27" i="1" s="1"/>
  <c r="M27" i="1" s="1"/>
  <c r="N27" i="1"/>
  <c r="O27" i="1" s="1"/>
  <c r="P27" i="1" s="1"/>
  <c r="Q27" i="1" s="1"/>
  <c r="R27" i="1" s="1"/>
  <c r="S27" i="1" s="1"/>
  <c r="T27" i="1" s="1"/>
  <c r="U27" i="1" s="1"/>
  <c r="V27" i="1" s="1"/>
  <c r="W27" i="1" s="1"/>
  <c r="X27" i="1" s="1"/>
  <c r="Y27" i="1" s="1"/>
  <c r="Z27" i="1" s="1"/>
  <c r="A28" i="1"/>
  <c r="D28" i="1"/>
  <c r="E28" i="1"/>
  <c r="F28" i="1" s="1"/>
  <c r="G28" i="1"/>
  <c r="H28" i="1" s="1"/>
  <c r="I28" i="1" s="1"/>
  <c r="J28" i="1" s="1"/>
  <c r="K28" i="1"/>
  <c r="L28" i="1" s="1"/>
  <c r="M28" i="1" s="1"/>
  <c r="N28" i="1" s="1"/>
  <c r="O28" i="1" s="1"/>
  <c r="P28" i="1" s="1"/>
  <c r="Q28" i="1" s="1"/>
  <c r="R28" i="1" s="1"/>
  <c r="S28" i="1" s="1"/>
  <c r="T28" i="1" s="1"/>
  <c r="U28" i="1" s="1"/>
  <c r="V28" i="1" s="1"/>
  <c r="W28" i="1" s="1"/>
  <c r="X28" i="1" s="1"/>
  <c r="Y28" i="1" s="1"/>
  <c r="Z28" i="1" s="1"/>
  <c r="D29" i="1"/>
  <c r="E29" i="1" s="1"/>
  <c r="D30" i="1"/>
  <c r="E30" i="1" s="1"/>
  <c r="D31" i="1"/>
  <c r="E31" i="1" s="1"/>
  <c r="F31" i="1"/>
  <c r="G31" i="1" s="1"/>
  <c r="H31" i="1" s="1"/>
  <c r="I31" i="1" s="1"/>
  <c r="J31" i="1" s="1"/>
  <c r="K31" i="1" s="1"/>
  <c r="L31" i="1" s="1"/>
  <c r="M31" i="1" s="1"/>
  <c r="N31" i="1" s="1"/>
  <c r="O31" i="1" s="1"/>
  <c r="P31" i="1" s="1"/>
  <c r="Q31" i="1" s="1"/>
  <c r="R31" i="1" s="1"/>
  <c r="S31" i="1" s="1"/>
  <c r="T31" i="1" s="1"/>
  <c r="U31" i="1" s="1"/>
  <c r="V31" i="1" s="1"/>
  <c r="W31" i="1" s="1"/>
  <c r="X31" i="1" s="1"/>
  <c r="Y31" i="1" s="1"/>
  <c r="Z31" i="1" s="1"/>
  <c r="A32" i="1"/>
  <c r="D32" i="1"/>
  <c r="E32" i="1" s="1"/>
  <c r="F32" i="1" s="1"/>
  <c r="G32" i="1"/>
  <c r="H32" i="1" s="1"/>
  <c r="I32" i="1" s="1"/>
  <c r="J32" i="1" s="1"/>
  <c r="K32" i="1" s="1"/>
  <c r="L32" i="1" s="1"/>
  <c r="M32" i="1" s="1"/>
  <c r="N32" i="1" s="1"/>
  <c r="O32" i="1" s="1"/>
  <c r="P32" i="1" s="1"/>
  <c r="Q32" i="1" s="1"/>
  <c r="R32" i="1" s="1"/>
  <c r="S32" i="1" s="1"/>
  <c r="T32" i="1" s="1"/>
  <c r="U32" i="1" s="1"/>
  <c r="V32" i="1" s="1"/>
  <c r="W32" i="1" s="1"/>
  <c r="X32" i="1" s="1"/>
  <c r="Y32" i="1" s="1"/>
  <c r="Z32" i="1" s="1"/>
  <c r="D33" i="1"/>
  <c r="E33" i="1"/>
  <c r="F33" i="1" s="1"/>
  <c r="G33" i="1"/>
  <c r="H33" i="1" s="1"/>
  <c r="I33" i="1" s="1"/>
  <c r="J33" i="1" s="1"/>
  <c r="K33" i="1" s="1"/>
  <c r="L33" i="1" s="1"/>
  <c r="M33" i="1" s="1"/>
  <c r="N33" i="1" s="1"/>
  <c r="O33" i="1" s="1"/>
  <c r="P33" i="1" s="1"/>
  <c r="Q33" i="1" s="1"/>
  <c r="R33" i="1" s="1"/>
  <c r="S33" i="1" s="1"/>
  <c r="T33" i="1" s="1"/>
  <c r="U33" i="1" s="1"/>
  <c r="V33" i="1" s="1"/>
  <c r="W33" i="1" s="1"/>
  <c r="X33" i="1" s="1"/>
  <c r="Y33" i="1" s="1"/>
  <c r="Z33" i="1" s="1"/>
  <c r="D34" i="1"/>
  <c r="E34" i="1"/>
  <c r="F34" i="1" s="1"/>
  <c r="G34" i="1" s="1"/>
  <c r="H34" i="1" s="1"/>
  <c r="I34" i="1"/>
  <c r="J34" i="1" s="1"/>
  <c r="K34" i="1" s="1"/>
  <c r="L34" i="1" s="1"/>
  <c r="M34" i="1" s="1"/>
  <c r="N34" i="1" s="1"/>
  <c r="O34" i="1" s="1"/>
  <c r="P34" i="1" s="1"/>
  <c r="Q34" i="1" s="1"/>
  <c r="R34" i="1" s="1"/>
  <c r="S34" i="1" s="1"/>
  <c r="T34" i="1" s="1"/>
  <c r="U34" i="1" s="1"/>
  <c r="V34" i="1" s="1"/>
  <c r="W34" i="1" s="1"/>
  <c r="X34" i="1" s="1"/>
  <c r="Y34" i="1" s="1"/>
  <c r="Z34" i="1" s="1"/>
  <c r="D35" i="1"/>
  <c r="E35" i="1"/>
  <c r="F35" i="1"/>
  <c r="G35" i="1"/>
  <c r="H35" i="1" s="1"/>
  <c r="I35" i="1" s="1"/>
  <c r="J35" i="1" s="1"/>
  <c r="K35" i="1"/>
  <c r="L35" i="1" s="1"/>
  <c r="M35" i="1" s="1"/>
  <c r="N35" i="1"/>
  <c r="O35" i="1" s="1"/>
  <c r="P35" i="1" s="1"/>
  <c r="Q35" i="1" s="1"/>
  <c r="R35" i="1"/>
  <c r="S35" i="1" s="1"/>
  <c r="T35" i="1" s="1"/>
  <c r="U35" i="1" s="1"/>
  <c r="V35" i="1" s="1"/>
  <c r="W35" i="1" s="1"/>
  <c r="X35" i="1" s="1"/>
  <c r="Y35" i="1" s="1"/>
  <c r="Z35" i="1" s="1"/>
  <c r="A36" i="1"/>
  <c r="D36" i="1"/>
  <c r="E36" i="1"/>
  <c r="F36" i="1" s="1"/>
  <c r="G36" i="1"/>
  <c r="D37" i="1"/>
  <c r="E37" i="1"/>
  <c r="F37" i="1" s="1"/>
  <c r="G37" i="1" s="1"/>
  <c r="H37" i="1" s="1"/>
  <c r="I37" i="1" s="1"/>
  <c r="J37" i="1" s="1"/>
  <c r="K37" i="1" s="1"/>
  <c r="L37" i="1" s="1"/>
  <c r="M37" i="1" s="1"/>
  <c r="N37" i="1" s="1"/>
  <c r="O37" i="1" s="1"/>
  <c r="P37" i="1" s="1"/>
  <c r="Q37" i="1" s="1"/>
  <c r="R37" i="1" s="1"/>
  <c r="S37" i="1" s="1"/>
  <c r="T37" i="1" s="1"/>
  <c r="U37" i="1" s="1"/>
  <c r="V37" i="1" s="1"/>
  <c r="W37" i="1" s="1"/>
  <c r="X37" i="1" s="1"/>
  <c r="Y37" i="1" s="1"/>
  <c r="Z37" i="1" s="1"/>
  <c r="D38" i="1"/>
  <c r="E38" i="1" s="1"/>
  <c r="F38" i="1"/>
  <c r="G38" i="1" s="1"/>
  <c r="H38" i="1" s="1"/>
  <c r="I38" i="1" s="1"/>
  <c r="J38" i="1" s="1"/>
  <c r="K38" i="1" s="1"/>
  <c r="L38" i="1" s="1"/>
  <c r="M38" i="1" s="1"/>
  <c r="N38" i="1" s="1"/>
  <c r="O38" i="1" s="1"/>
  <c r="P38" i="1" s="1"/>
  <c r="D39" i="1"/>
  <c r="E39" i="1" s="1"/>
  <c r="F39" i="1" s="1"/>
  <c r="G39" i="1"/>
  <c r="H39" i="1" s="1"/>
  <c r="I39" i="1" s="1"/>
  <c r="J39" i="1" s="1"/>
  <c r="K39" i="1"/>
  <c r="L39" i="1" s="1"/>
  <c r="M39" i="1" s="1"/>
  <c r="N39" i="1" s="1"/>
  <c r="O39" i="1" s="1"/>
  <c r="P39" i="1" s="1"/>
  <c r="Q39" i="1" s="1"/>
  <c r="R39" i="1" s="1"/>
  <c r="S39" i="1" s="1"/>
  <c r="T39" i="1" s="1"/>
  <c r="U39" i="1" s="1"/>
  <c r="V39" i="1" s="1"/>
  <c r="W39" i="1" s="1"/>
  <c r="X39" i="1" s="1"/>
  <c r="Y39" i="1" s="1"/>
  <c r="Z39" i="1" s="1"/>
  <c r="A40" i="1"/>
  <c r="D40" i="1"/>
  <c r="E40" i="1" s="1"/>
  <c r="F40" i="1" s="1"/>
  <c r="G40" i="1" s="1"/>
  <c r="H40" i="1"/>
  <c r="I40" i="1" s="1"/>
  <c r="J40" i="1" s="1"/>
  <c r="K40" i="1" s="1"/>
  <c r="L40" i="1"/>
  <c r="M40" i="1" s="1"/>
  <c r="N40" i="1" s="1"/>
  <c r="O40" i="1" s="1"/>
  <c r="P40" i="1" s="1"/>
  <c r="Q40" i="1" s="1"/>
  <c r="R40" i="1" s="1"/>
  <c r="S40" i="1" s="1"/>
  <c r="T40" i="1" s="1"/>
  <c r="U40" i="1" s="1"/>
  <c r="V40" i="1" s="1"/>
  <c r="W40" i="1" s="1"/>
  <c r="X40" i="1" s="1"/>
  <c r="Y40" i="1" s="1"/>
  <c r="Z40" i="1" s="1"/>
  <c r="D41" i="1"/>
  <c r="E41" i="1"/>
  <c r="F41" i="1" s="1"/>
  <c r="G41" i="1"/>
  <c r="H41" i="1" s="1"/>
  <c r="I41" i="1" s="1"/>
  <c r="J41" i="1"/>
  <c r="K41" i="1" s="1"/>
  <c r="L41" i="1" s="1"/>
  <c r="M41" i="1" s="1"/>
  <c r="N41" i="1" s="1"/>
  <c r="O41" i="1" s="1"/>
  <c r="P41" i="1" s="1"/>
  <c r="Q41" i="1" s="1"/>
  <c r="R41" i="1" s="1"/>
  <c r="S41" i="1" s="1"/>
  <c r="T41" i="1" s="1"/>
  <c r="U41" i="1" s="1"/>
  <c r="V41" i="1" s="1"/>
  <c r="W41" i="1" s="1"/>
  <c r="X41" i="1" s="1"/>
  <c r="Y41" i="1" s="1"/>
  <c r="Z41" i="1" s="1"/>
  <c r="D42" i="1"/>
  <c r="E42" i="1" s="1"/>
  <c r="F42" i="1"/>
  <c r="G42" i="1" s="1"/>
  <c r="H42" i="1" s="1"/>
  <c r="I42" i="1" s="1"/>
  <c r="J42" i="1" s="1"/>
  <c r="K42" i="1" s="1"/>
  <c r="L42" i="1" s="1"/>
  <c r="M42" i="1" s="1"/>
  <c r="N42" i="1" s="1"/>
  <c r="O42" i="1" s="1"/>
  <c r="P42" i="1" s="1"/>
  <c r="Q42" i="1" s="1"/>
  <c r="R42" i="1" s="1"/>
  <c r="S42" i="1" s="1"/>
  <c r="T42" i="1" s="1"/>
  <c r="U42" i="1" s="1"/>
  <c r="V42" i="1" s="1"/>
  <c r="W42" i="1" s="1"/>
  <c r="X42" i="1" s="1"/>
  <c r="Y42" i="1" s="1"/>
  <c r="Z42" i="1" s="1"/>
  <c r="D43" i="1"/>
  <c r="E43" i="1" s="1"/>
  <c r="F43" i="1" s="1"/>
  <c r="G43" i="1" s="1"/>
  <c r="H43" i="1" s="1"/>
  <c r="I43" i="1" s="1"/>
  <c r="J43" i="1" s="1"/>
  <c r="K43" i="1" s="1"/>
  <c r="L43" i="1" s="1"/>
  <c r="M43" i="1" s="1"/>
  <c r="N43" i="1" s="1"/>
  <c r="O43" i="1" s="1"/>
  <c r="P43" i="1" s="1"/>
  <c r="Q43" i="1" s="1"/>
  <c r="R43" i="1" s="1"/>
  <c r="S43" i="1" s="1"/>
  <c r="T43" i="1" s="1"/>
  <c r="U43" i="1" s="1"/>
  <c r="V43" i="1" s="1"/>
  <c r="W43" i="1" s="1"/>
  <c r="X43" i="1" s="1"/>
  <c r="Y43" i="1" s="1"/>
  <c r="Z43" i="1" s="1"/>
  <c r="A44" i="1"/>
  <c r="D44" i="1"/>
  <c r="E44" i="1" s="1"/>
  <c r="F44" i="1" s="1"/>
  <c r="G44" i="1"/>
  <c r="H44" i="1" s="1"/>
  <c r="I44" i="1"/>
  <c r="J44" i="1" s="1"/>
  <c r="K44" i="1" s="1"/>
  <c r="L44" i="1" s="1"/>
  <c r="M44" i="1" s="1"/>
  <c r="N44" i="1" s="1"/>
  <c r="O44" i="1" s="1"/>
  <c r="P44" i="1" s="1"/>
  <c r="Q44" i="1" s="1"/>
  <c r="R44" i="1" s="1"/>
  <c r="S44" i="1" s="1"/>
  <c r="T44" i="1" s="1"/>
  <c r="U44" i="1" s="1"/>
  <c r="V44" i="1" s="1"/>
  <c r="W44" i="1" s="1"/>
  <c r="X44" i="1" s="1"/>
  <c r="Y44" i="1" s="1"/>
  <c r="Z44" i="1" s="1"/>
  <c r="D45" i="1"/>
  <c r="E45" i="1"/>
  <c r="D46" i="1"/>
  <c r="E46" i="1"/>
  <c r="F46" i="1" s="1"/>
  <c r="G46" i="1"/>
  <c r="H46" i="1" s="1"/>
  <c r="I46" i="1"/>
  <c r="J46" i="1" s="1"/>
  <c r="K46" i="1" s="1"/>
  <c r="L46" i="1" s="1"/>
  <c r="M46" i="1" s="1"/>
  <c r="N46" i="1" s="1"/>
  <c r="O46" i="1" s="1"/>
  <c r="P46" i="1" s="1"/>
  <c r="Q46" i="1" s="1"/>
  <c r="R46" i="1" s="1"/>
  <c r="S46" i="1" s="1"/>
  <c r="T46" i="1" s="1"/>
  <c r="U46" i="1" s="1"/>
  <c r="V46" i="1" s="1"/>
  <c r="W46" i="1" s="1"/>
  <c r="X46" i="1" s="1"/>
  <c r="Y46" i="1" s="1"/>
  <c r="Z46" i="1" s="1"/>
  <c r="D47" i="1"/>
  <c r="E47" i="1" s="1"/>
  <c r="F47" i="1"/>
  <c r="G47" i="1" s="1"/>
  <c r="H47" i="1"/>
  <c r="I47" i="1" s="1"/>
  <c r="J47" i="1"/>
  <c r="K47" i="1" s="1"/>
  <c r="L47" i="1" s="1"/>
  <c r="M47" i="1" s="1"/>
  <c r="N47" i="1" s="1"/>
  <c r="O47" i="1" s="1"/>
  <c r="P47" i="1" s="1"/>
  <c r="Q47" i="1" s="1"/>
  <c r="R47" i="1" s="1"/>
  <c r="S47" i="1" s="1"/>
  <c r="T47" i="1" s="1"/>
  <c r="U47" i="1" s="1"/>
  <c r="V47" i="1" s="1"/>
  <c r="W47" i="1" s="1"/>
  <c r="X47" i="1" s="1"/>
  <c r="Y47" i="1" s="1"/>
  <c r="Z47" i="1" s="1"/>
  <c r="A48" i="1"/>
  <c r="D48" i="1"/>
  <c r="E48" i="1" s="1"/>
  <c r="F48" i="1"/>
  <c r="G48" i="1" s="1"/>
  <c r="H48" i="1"/>
  <c r="I48" i="1" s="1"/>
  <c r="J48" i="1" s="1"/>
  <c r="K48" i="1" s="1"/>
  <c r="L48" i="1" s="1"/>
  <c r="M48" i="1" s="1"/>
  <c r="N48" i="1" s="1"/>
  <c r="O48" i="1" s="1"/>
  <c r="P48" i="1" s="1"/>
  <c r="Q48" i="1" s="1"/>
  <c r="R48" i="1" s="1"/>
  <c r="S48" i="1" s="1"/>
  <c r="T48" i="1" s="1"/>
  <c r="U48" i="1" s="1"/>
  <c r="V48" i="1" s="1"/>
  <c r="W48" i="1" s="1"/>
  <c r="X48" i="1" s="1"/>
  <c r="Y48" i="1" s="1"/>
  <c r="Z48" i="1" s="1"/>
  <c r="D49" i="1"/>
  <c r="E49" i="1"/>
  <c r="F49" i="1" s="1"/>
  <c r="G49" i="1"/>
  <c r="H49" i="1" s="1"/>
  <c r="I49" i="1" s="1"/>
  <c r="J49" i="1" s="1"/>
  <c r="K49" i="1" s="1"/>
  <c r="L49" i="1" s="1"/>
  <c r="M49" i="1" s="1"/>
  <c r="N49" i="1" s="1"/>
  <c r="O49" i="1" s="1"/>
  <c r="P49" i="1" s="1"/>
  <c r="Q49" i="1" s="1"/>
  <c r="R49" i="1" s="1"/>
  <c r="S49" i="1" s="1"/>
  <c r="T49" i="1" s="1"/>
  <c r="U49" i="1" s="1"/>
  <c r="V49" i="1" s="1"/>
  <c r="W49" i="1" s="1"/>
  <c r="X49" i="1" s="1"/>
  <c r="Y49" i="1" s="1"/>
  <c r="Z49" i="1" s="1"/>
  <c r="D50" i="1"/>
  <c r="E50" i="1" s="1"/>
  <c r="D51" i="1"/>
  <c r="E51" i="1" s="1"/>
  <c r="F51" i="1"/>
  <c r="B52" i="1"/>
  <c r="D52" i="1"/>
  <c r="E52" i="1"/>
  <c r="F52" i="1"/>
  <c r="G52" i="1"/>
  <c r="H52" i="1"/>
  <c r="I52" i="1"/>
  <c r="J52" i="1"/>
  <c r="K52" i="1"/>
  <c r="L52" i="1"/>
  <c r="M52" i="1"/>
  <c r="N52" i="1"/>
  <c r="O52" i="1"/>
  <c r="P52" i="1"/>
  <c r="Q52" i="1"/>
  <c r="R52" i="1"/>
  <c r="S52" i="1"/>
  <c r="T52" i="1"/>
  <c r="U52" i="1"/>
  <c r="V52" i="1"/>
  <c r="W52" i="1"/>
  <c r="X52" i="1"/>
  <c r="Y52" i="1"/>
  <c r="Z52" i="1"/>
  <c r="D53" i="1"/>
  <c r="E53" i="1"/>
  <c r="F53" i="1"/>
  <c r="G53" i="1"/>
  <c r="H53" i="1"/>
  <c r="I53" i="1"/>
  <c r="J53" i="1"/>
  <c r="K53" i="1"/>
  <c r="L53" i="1"/>
  <c r="M53" i="1"/>
  <c r="N53" i="1"/>
  <c r="O53" i="1"/>
  <c r="P53" i="1"/>
  <c r="Q53" i="1"/>
  <c r="R53" i="1"/>
  <c r="S53" i="1"/>
  <c r="T53" i="1"/>
  <c r="U53" i="1"/>
  <c r="V53" i="1"/>
  <c r="W53" i="1"/>
  <c r="X53" i="1"/>
  <c r="Y53" i="1"/>
  <c r="Z53" i="1"/>
  <c r="D54" i="1"/>
  <c r="E54" i="1"/>
  <c r="F54" i="1"/>
  <c r="G54" i="1"/>
  <c r="H54" i="1"/>
  <c r="I54" i="1"/>
  <c r="J54" i="1"/>
  <c r="K54" i="1"/>
  <c r="L54" i="1"/>
  <c r="M54" i="1"/>
  <c r="N54" i="1"/>
  <c r="O54" i="1"/>
  <c r="P54" i="1"/>
  <c r="Q54" i="1"/>
  <c r="R54" i="1"/>
  <c r="S54" i="1"/>
  <c r="T54" i="1"/>
  <c r="U54" i="1"/>
  <c r="V54" i="1"/>
  <c r="W54" i="1"/>
  <c r="X54" i="1"/>
  <c r="Y54" i="1"/>
  <c r="Z54" i="1"/>
  <c r="D55" i="1"/>
  <c r="E55" i="1"/>
  <c r="F55" i="1"/>
  <c r="G55" i="1"/>
  <c r="H55" i="1"/>
  <c r="I55" i="1"/>
  <c r="J55" i="1"/>
  <c r="K55" i="1"/>
  <c r="L55" i="1"/>
  <c r="M55" i="1"/>
  <c r="N55" i="1"/>
  <c r="O55" i="1"/>
  <c r="P55" i="1"/>
  <c r="Q55" i="1"/>
  <c r="R55" i="1"/>
  <c r="S55" i="1"/>
  <c r="T55" i="1"/>
  <c r="U55" i="1"/>
  <c r="V55" i="1"/>
  <c r="W55" i="1"/>
  <c r="X55" i="1"/>
  <c r="Y55" i="1"/>
  <c r="Z55" i="1"/>
  <c r="B58" i="1"/>
  <c r="B37" i="19"/>
  <c r="B41" i="19"/>
  <c r="B45" i="19"/>
  <c r="B49" i="19"/>
  <c r="B53" i="19"/>
  <c r="B60" i="1"/>
  <c r="C37" i="19"/>
  <c r="C41" i="19"/>
  <c r="C45" i="19"/>
  <c r="C49" i="19"/>
  <c r="C55" i="19" s="1"/>
  <c r="C53" i="19"/>
  <c r="B62" i="1"/>
  <c r="D37" i="19"/>
  <c r="D41" i="19"/>
  <c r="D55" i="19" s="1"/>
  <c r="D45" i="19"/>
  <c r="D49" i="19"/>
  <c r="D53" i="19"/>
  <c r="B64" i="1"/>
  <c r="E37" i="19"/>
  <c r="E41" i="19"/>
  <c r="E45" i="19"/>
  <c r="E49" i="19"/>
  <c r="E53" i="19"/>
  <c r="B66" i="1"/>
  <c r="F37" i="19"/>
  <c r="F41" i="19"/>
  <c r="F45" i="19"/>
  <c r="F49" i="19"/>
  <c r="F53" i="19"/>
  <c r="F55" i="19" s="1"/>
  <c r="B68" i="1"/>
  <c r="G37" i="19"/>
  <c r="G41" i="19"/>
  <c r="G45" i="19"/>
  <c r="G49" i="19"/>
  <c r="G53" i="19"/>
  <c r="B70" i="1"/>
  <c r="B153" i="19"/>
  <c r="B216" i="19" s="1"/>
  <c r="B154" i="19"/>
  <c r="B217" i="19" s="1"/>
  <c r="B155" i="19"/>
  <c r="B73" i="1"/>
  <c r="C88" i="19"/>
  <c r="C113" i="19"/>
  <c r="C138" i="19"/>
  <c r="C155" i="19" s="1"/>
  <c r="C149" i="19"/>
  <c r="B76" i="1"/>
  <c r="D88" i="19"/>
  <c r="D113" i="19"/>
  <c r="D154" i="19" s="1"/>
  <c r="D138" i="19"/>
  <c r="D149" i="19"/>
  <c r="D141" i="19" s="1"/>
  <c r="D224" i="19"/>
  <c r="D226" i="19" s="1"/>
  <c r="B79" i="1"/>
  <c r="E88" i="19"/>
  <c r="E113" i="19"/>
  <c r="E138" i="19"/>
  <c r="E149" i="19"/>
  <c r="B82" i="1"/>
  <c r="F88" i="19"/>
  <c r="F113" i="19"/>
  <c r="F138" i="19"/>
  <c r="F154" i="19" s="1"/>
  <c r="F149" i="19"/>
  <c r="F141" i="19"/>
  <c r="F224" i="19" s="1"/>
  <c r="F226" i="19"/>
  <c r="B85" i="1"/>
  <c r="G88" i="19"/>
  <c r="G155" i="19" s="1"/>
  <c r="G113" i="19"/>
  <c r="G138" i="19"/>
  <c r="G149" i="19"/>
  <c r="G141" i="19"/>
  <c r="G224" i="19" s="1"/>
  <c r="G226" i="19" s="1"/>
  <c r="B88" i="1"/>
  <c r="N193" i="19"/>
  <c r="O193" i="19"/>
  <c r="P193" i="19"/>
  <c r="Q193" i="19"/>
  <c r="B91" i="1"/>
  <c r="B94" i="1"/>
  <c r="B97" i="1"/>
  <c r="B100" i="1"/>
  <c r="B103" i="1"/>
  <c r="B106" i="1"/>
  <c r="N192" i="19"/>
  <c r="O192" i="19"/>
  <c r="P192" i="19"/>
  <c r="Q192" i="19"/>
  <c r="N194" i="19"/>
  <c r="O194" i="19"/>
  <c r="P194" i="19"/>
  <c r="Q194" i="19"/>
  <c r="B109" i="1"/>
  <c r="B112" i="1"/>
  <c r="B115" i="1"/>
  <c r="B118" i="1"/>
  <c r="B121" i="1"/>
  <c r="B124" i="1"/>
  <c r="B127" i="1"/>
  <c r="B130" i="1"/>
  <c r="B133" i="1"/>
  <c r="B136" i="1"/>
  <c r="B139" i="1"/>
  <c r="B142" i="1"/>
  <c r="B145" i="1"/>
  <c r="C145" i="1"/>
  <c r="B146" i="1"/>
  <c r="B149" i="1"/>
  <c r="B152" i="1"/>
  <c r="C152" i="1"/>
  <c r="B153" i="1"/>
  <c r="C153" i="1"/>
  <c r="B154" i="1"/>
  <c r="B141" i="19"/>
  <c r="B224" i="19" s="1"/>
  <c r="B226" i="19"/>
  <c r="B233" i="19"/>
  <c r="B112" i="19"/>
  <c r="B229" i="19"/>
  <c r="B157" i="1"/>
  <c r="C141" i="19"/>
  <c r="C224" i="19"/>
  <c r="C226" i="19" s="1"/>
  <c r="C233" i="19"/>
  <c r="C112" i="19"/>
  <c r="C229" i="19"/>
  <c r="B160" i="1"/>
  <c r="D229" i="19"/>
  <c r="D87" i="19"/>
  <c r="D234" i="19"/>
  <c r="D235" i="19" s="1"/>
  <c r="D237" i="19" s="1"/>
  <c r="D233" i="19"/>
  <c r="B163" i="1"/>
  <c r="E141" i="19"/>
  <c r="E224" i="19" s="1"/>
  <c r="E226" i="19"/>
  <c r="E229" i="19"/>
  <c r="E87" i="19"/>
  <c r="E234" i="19" s="1"/>
  <c r="E235" i="19"/>
  <c r="E233" i="19"/>
  <c r="B166" i="1"/>
  <c r="F229" i="19"/>
  <c r="F87" i="19"/>
  <c r="F234" i="19"/>
  <c r="F235" i="19" s="1"/>
  <c r="F233" i="19"/>
  <c r="B169" i="1"/>
  <c r="G229" i="19"/>
  <c r="G87" i="19"/>
  <c r="G234" i="19"/>
  <c r="G235" i="19" s="1"/>
  <c r="G233" i="19"/>
  <c r="B172" i="1"/>
  <c r="B175" i="1"/>
  <c r="B178" i="1"/>
  <c r="B181" i="1"/>
  <c r="B184" i="1"/>
  <c r="B187" i="1"/>
  <c r="B190" i="1"/>
  <c r="B193" i="1"/>
  <c r="B196" i="1"/>
  <c r="B199" i="1"/>
  <c r="B202" i="1"/>
  <c r="B205" i="1"/>
  <c r="B208" i="1"/>
  <c r="B211" i="1"/>
  <c r="B214" i="1"/>
  <c r="B217" i="1"/>
  <c r="B220" i="1"/>
  <c r="B223" i="1"/>
  <c r="B226" i="1"/>
  <c r="B229" i="1"/>
  <c r="C229" i="1"/>
  <c r="B230" i="1"/>
  <c r="B209" i="19"/>
  <c r="B233" i="1"/>
  <c r="B236" i="1"/>
  <c r="C236" i="1"/>
  <c r="B237" i="1"/>
  <c r="C237" i="1"/>
  <c r="B238" i="1"/>
  <c r="B241" i="1"/>
  <c r="B244" i="1"/>
  <c r="B247" i="1"/>
  <c r="B250" i="1"/>
  <c r="B253" i="1"/>
  <c r="B256" i="1"/>
  <c r="B259" i="1"/>
  <c r="C259" i="1"/>
  <c r="B260" i="1"/>
  <c r="B263" i="1"/>
  <c r="B266" i="1"/>
  <c r="B269" i="1"/>
  <c r="B272" i="1"/>
  <c r="B275" i="1"/>
  <c r="B278" i="1"/>
  <c r="B281" i="1"/>
  <c r="C281" i="1"/>
  <c r="B282" i="1"/>
  <c r="B285" i="1"/>
  <c r="B288" i="1"/>
  <c r="B291" i="1"/>
  <c r="B294" i="1"/>
  <c r="B297" i="1"/>
  <c r="B300" i="1"/>
  <c r="B303" i="1"/>
  <c r="C303" i="1"/>
  <c r="B304" i="1"/>
  <c r="D304" i="1"/>
  <c r="D305" i="1"/>
  <c r="D306" i="1"/>
  <c r="B307" i="1"/>
  <c r="D307" i="1"/>
  <c r="D308" i="1"/>
  <c r="D309" i="1"/>
  <c r="B310" i="1"/>
  <c r="D310" i="1"/>
  <c r="D311" i="1"/>
  <c r="D312" i="1"/>
  <c r="B313" i="1"/>
  <c r="D313" i="1"/>
  <c r="D314" i="1"/>
  <c r="D315" i="1"/>
  <c r="B316" i="1"/>
  <c r="D316" i="1"/>
  <c r="D317" i="1"/>
  <c r="D318" i="1"/>
  <c r="B319" i="1"/>
  <c r="D319" i="1"/>
  <c r="D320" i="1"/>
  <c r="D321" i="1"/>
  <c r="B322" i="1"/>
  <c r="D322" i="1"/>
  <c r="D323" i="1"/>
  <c r="D324" i="1"/>
  <c r="D325" i="1"/>
  <c r="D525" i="1" s="1"/>
  <c r="B325" i="1"/>
  <c r="C325" i="1"/>
  <c r="B326" i="1"/>
  <c r="D326" i="1"/>
  <c r="E326" i="1"/>
  <c r="E344" i="1" s="1"/>
  <c r="D327" i="1"/>
  <c r="D345" i="1" s="1"/>
  <c r="E327" i="1"/>
  <c r="D328" i="1"/>
  <c r="E328" i="1"/>
  <c r="E346" i="1" s="1"/>
  <c r="E347" i="1" s="1"/>
  <c r="E526" i="1" s="1"/>
  <c r="B329" i="1"/>
  <c r="D329" i="1"/>
  <c r="E329" i="1"/>
  <c r="D330" i="1"/>
  <c r="E330" i="1"/>
  <c r="D331" i="1"/>
  <c r="E331" i="1"/>
  <c r="B332" i="1"/>
  <c r="D332" i="1"/>
  <c r="E332" i="1"/>
  <c r="D333" i="1"/>
  <c r="E333" i="1"/>
  <c r="D334" i="1"/>
  <c r="E334" i="1"/>
  <c r="B335" i="1"/>
  <c r="D335" i="1"/>
  <c r="E335" i="1"/>
  <c r="D336" i="1"/>
  <c r="E336" i="1"/>
  <c r="D337" i="1"/>
  <c r="E337" i="1"/>
  <c r="B338" i="1"/>
  <c r="D338" i="1"/>
  <c r="E338" i="1"/>
  <c r="D339" i="1"/>
  <c r="E339" i="1"/>
  <c r="D340" i="1"/>
  <c r="E340" i="1"/>
  <c r="B341" i="1"/>
  <c r="D341" i="1"/>
  <c r="E341" i="1"/>
  <c r="D342" i="1"/>
  <c r="E342" i="1"/>
  <c r="D343" i="1"/>
  <c r="E343" i="1"/>
  <c r="B344" i="1"/>
  <c r="D344" i="1"/>
  <c r="E345" i="1"/>
  <c r="D346" i="1"/>
  <c r="D347" i="1"/>
  <c r="D526" i="1" s="1"/>
  <c r="B347" i="1"/>
  <c r="C347" i="1"/>
  <c r="B348" i="1"/>
  <c r="D348" i="1"/>
  <c r="D366" i="1" s="1"/>
  <c r="E348" i="1"/>
  <c r="E366" i="1"/>
  <c r="F348" i="1"/>
  <c r="F366" i="1" s="1"/>
  <c r="D349" i="1"/>
  <c r="D367" i="1" s="1"/>
  <c r="E349" i="1"/>
  <c r="E367" i="1" s="1"/>
  <c r="F349" i="1"/>
  <c r="D350" i="1"/>
  <c r="D368" i="1" s="1"/>
  <c r="E350" i="1"/>
  <c r="E368" i="1"/>
  <c r="E369" i="1" s="1"/>
  <c r="E527" i="1" s="1"/>
  <c r="F350" i="1"/>
  <c r="F368" i="1"/>
  <c r="B351" i="1"/>
  <c r="D351" i="1"/>
  <c r="E351" i="1"/>
  <c r="F351" i="1"/>
  <c r="D352" i="1"/>
  <c r="E352" i="1"/>
  <c r="F352" i="1"/>
  <c r="D353" i="1"/>
  <c r="E353" i="1"/>
  <c r="F353" i="1"/>
  <c r="B354" i="1"/>
  <c r="D354" i="1"/>
  <c r="E354" i="1"/>
  <c r="F354" i="1"/>
  <c r="D355" i="1"/>
  <c r="E355" i="1"/>
  <c r="F355" i="1"/>
  <c r="D356" i="1"/>
  <c r="E356" i="1"/>
  <c r="F356" i="1"/>
  <c r="B357" i="1"/>
  <c r="D357" i="1"/>
  <c r="E357" i="1"/>
  <c r="F357" i="1"/>
  <c r="D358" i="1"/>
  <c r="E358" i="1"/>
  <c r="F358" i="1"/>
  <c r="D359" i="1"/>
  <c r="E359" i="1"/>
  <c r="F359" i="1"/>
  <c r="B360" i="1"/>
  <c r="D360" i="1"/>
  <c r="E360" i="1"/>
  <c r="F360" i="1"/>
  <c r="D361" i="1"/>
  <c r="E361" i="1"/>
  <c r="F361" i="1"/>
  <c r="D362" i="1"/>
  <c r="E362" i="1"/>
  <c r="F362" i="1"/>
  <c r="B363" i="1"/>
  <c r="D363" i="1"/>
  <c r="E363" i="1"/>
  <c r="F363" i="1"/>
  <c r="D364" i="1"/>
  <c r="E364" i="1"/>
  <c r="F364" i="1"/>
  <c r="D365" i="1"/>
  <c r="E365" i="1"/>
  <c r="F365" i="1"/>
  <c r="B366" i="1"/>
  <c r="F367" i="1"/>
  <c r="F369" i="1"/>
  <c r="F527" i="1" s="1"/>
  <c r="B369" i="1"/>
  <c r="C369" i="1"/>
  <c r="B370" i="1"/>
  <c r="D370" i="1"/>
  <c r="E370" i="1"/>
  <c r="F370" i="1"/>
  <c r="G370" i="1"/>
  <c r="G388" i="1" s="1"/>
  <c r="D371" i="1"/>
  <c r="D389" i="1" s="1"/>
  <c r="E371" i="1"/>
  <c r="E389" i="1" s="1"/>
  <c r="F371" i="1"/>
  <c r="G371" i="1"/>
  <c r="G389" i="1"/>
  <c r="D372" i="1"/>
  <c r="E372" i="1"/>
  <c r="F372" i="1"/>
  <c r="G372" i="1"/>
  <c r="B373" i="1"/>
  <c r="D373" i="1"/>
  <c r="E373" i="1"/>
  <c r="F373" i="1"/>
  <c r="G373" i="1"/>
  <c r="D374" i="1"/>
  <c r="E374" i="1"/>
  <c r="F374" i="1"/>
  <c r="G374" i="1"/>
  <c r="D375" i="1"/>
  <c r="E375" i="1"/>
  <c r="F375" i="1"/>
  <c r="G375" i="1"/>
  <c r="B376" i="1"/>
  <c r="D376" i="1"/>
  <c r="E376" i="1"/>
  <c r="F376" i="1"/>
  <c r="G376" i="1"/>
  <c r="D377" i="1"/>
  <c r="E377" i="1"/>
  <c r="F377" i="1"/>
  <c r="G377" i="1"/>
  <c r="D378" i="1"/>
  <c r="E378" i="1"/>
  <c r="F378" i="1"/>
  <c r="G378" i="1"/>
  <c r="B379" i="1"/>
  <c r="D379" i="1"/>
  <c r="E379" i="1"/>
  <c r="F379" i="1"/>
  <c r="G379" i="1"/>
  <c r="D380" i="1"/>
  <c r="E380" i="1"/>
  <c r="F380" i="1"/>
  <c r="G380" i="1"/>
  <c r="D381" i="1"/>
  <c r="E381" i="1"/>
  <c r="F381" i="1"/>
  <c r="G381" i="1"/>
  <c r="B382" i="1"/>
  <c r="D382" i="1"/>
  <c r="E382" i="1"/>
  <c r="F382" i="1"/>
  <c r="G382" i="1"/>
  <c r="D383" i="1"/>
  <c r="E383" i="1"/>
  <c r="F383" i="1"/>
  <c r="G383" i="1"/>
  <c r="D384" i="1"/>
  <c r="E384" i="1"/>
  <c r="F384" i="1"/>
  <c r="G384" i="1"/>
  <c r="B385" i="1"/>
  <c r="D385" i="1"/>
  <c r="E385" i="1"/>
  <c r="F385" i="1"/>
  <c r="G385" i="1"/>
  <c r="D386" i="1"/>
  <c r="E386" i="1"/>
  <c r="F386" i="1"/>
  <c r="G386" i="1"/>
  <c r="D387" i="1"/>
  <c r="E387" i="1"/>
  <c r="F387" i="1"/>
  <c r="G387" i="1"/>
  <c r="B388" i="1"/>
  <c r="D388" i="1"/>
  <c r="E388" i="1"/>
  <c r="F388" i="1"/>
  <c r="F389" i="1"/>
  <c r="D390" i="1"/>
  <c r="D391" i="1"/>
  <c r="D528" i="1" s="1"/>
  <c r="E390" i="1"/>
  <c r="E391" i="1" s="1"/>
  <c r="F390" i="1"/>
  <c r="G390" i="1"/>
  <c r="B391" i="1"/>
  <c r="C391" i="1"/>
  <c r="B392" i="1"/>
  <c r="D392" i="1"/>
  <c r="D410" i="1" s="1"/>
  <c r="E392" i="1"/>
  <c r="F392" i="1"/>
  <c r="G392" i="1"/>
  <c r="H392" i="1"/>
  <c r="H410" i="1" s="1"/>
  <c r="D393" i="1"/>
  <c r="E393" i="1"/>
  <c r="F393" i="1"/>
  <c r="F411" i="1"/>
  <c r="G393" i="1"/>
  <c r="H393" i="1"/>
  <c r="D394" i="1"/>
  <c r="D412" i="1" s="1"/>
  <c r="D413" i="1" s="1"/>
  <c r="E394" i="1"/>
  <c r="E412" i="1" s="1"/>
  <c r="F394" i="1"/>
  <c r="G394" i="1"/>
  <c r="G412" i="1" s="1"/>
  <c r="G413" i="1"/>
  <c r="G529" i="1" s="1"/>
  <c r="H394" i="1"/>
  <c r="H412" i="1" s="1"/>
  <c r="B395" i="1"/>
  <c r="D395" i="1"/>
  <c r="E395" i="1"/>
  <c r="F395" i="1"/>
  <c r="G395" i="1"/>
  <c r="H395" i="1"/>
  <c r="D396" i="1"/>
  <c r="E396" i="1"/>
  <c r="F396" i="1"/>
  <c r="G396" i="1"/>
  <c r="H396" i="1"/>
  <c r="D397" i="1"/>
  <c r="E397" i="1"/>
  <c r="F397" i="1"/>
  <c r="G397" i="1"/>
  <c r="H397" i="1"/>
  <c r="B398" i="1"/>
  <c r="D398" i="1"/>
  <c r="E398" i="1"/>
  <c r="F398" i="1"/>
  <c r="G398" i="1"/>
  <c r="H398" i="1"/>
  <c r="D399" i="1"/>
  <c r="E399" i="1"/>
  <c r="F399" i="1"/>
  <c r="G399" i="1"/>
  <c r="H399" i="1"/>
  <c r="D400" i="1"/>
  <c r="E400" i="1"/>
  <c r="F400" i="1"/>
  <c r="G400" i="1"/>
  <c r="H400" i="1"/>
  <c r="B401" i="1"/>
  <c r="D401" i="1"/>
  <c r="E401" i="1"/>
  <c r="F401" i="1"/>
  <c r="G401" i="1"/>
  <c r="H401" i="1"/>
  <c r="D402" i="1"/>
  <c r="E402" i="1"/>
  <c r="F402" i="1"/>
  <c r="G402" i="1"/>
  <c r="H402" i="1"/>
  <c r="D403" i="1"/>
  <c r="E403" i="1"/>
  <c r="F403" i="1"/>
  <c r="G403" i="1"/>
  <c r="H403" i="1"/>
  <c r="B404" i="1"/>
  <c r="D404" i="1"/>
  <c r="E404" i="1"/>
  <c r="F404" i="1"/>
  <c r="G404" i="1"/>
  <c r="H404" i="1"/>
  <c r="D405" i="1"/>
  <c r="E405" i="1"/>
  <c r="F405" i="1"/>
  <c r="G405" i="1"/>
  <c r="H405" i="1"/>
  <c r="D406" i="1"/>
  <c r="E406" i="1"/>
  <c r="F406" i="1"/>
  <c r="G406" i="1"/>
  <c r="H406" i="1"/>
  <c r="B407" i="1"/>
  <c r="D407" i="1"/>
  <c r="E407" i="1"/>
  <c r="F407" i="1"/>
  <c r="G407" i="1"/>
  <c r="H407" i="1"/>
  <c r="D408" i="1"/>
  <c r="E408" i="1"/>
  <c r="F408" i="1"/>
  <c r="G408" i="1"/>
  <c r="H408" i="1"/>
  <c r="D409" i="1"/>
  <c r="E409" i="1"/>
  <c r="F409" i="1"/>
  <c r="G409" i="1"/>
  <c r="H409" i="1"/>
  <c r="B410" i="1"/>
  <c r="E410" i="1"/>
  <c r="F410" i="1"/>
  <c r="G410" i="1"/>
  <c r="D411" i="1"/>
  <c r="E411" i="1"/>
  <c r="G411" i="1"/>
  <c r="H411" i="1"/>
  <c r="F412" i="1"/>
  <c r="B413" i="1"/>
  <c r="C413" i="1"/>
  <c r="B414" i="1"/>
  <c r="D414" i="1"/>
  <c r="E414" i="1"/>
  <c r="F414" i="1"/>
  <c r="F432" i="1" s="1"/>
  <c r="G414" i="1"/>
  <c r="G432" i="1" s="1"/>
  <c r="H414" i="1"/>
  <c r="I414" i="1"/>
  <c r="I432" i="1" s="1"/>
  <c r="D415" i="1"/>
  <c r="D433" i="1" s="1"/>
  <c r="E415" i="1"/>
  <c r="E433" i="1" s="1"/>
  <c r="F415" i="1"/>
  <c r="G415" i="1"/>
  <c r="G433" i="1" s="1"/>
  <c r="H415" i="1"/>
  <c r="I415" i="1"/>
  <c r="D416" i="1"/>
  <c r="E416" i="1"/>
  <c r="E434" i="1"/>
  <c r="E435" i="1" s="1"/>
  <c r="E530" i="1"/>
  <c r="F416" i="1"/>
  <c r="F434" i="1" s="1"/>
  <c r="G416" i="1"/>
  <c r="H416" i="1"/>
  <c r="I416" i="1"/>
  <c r="I434" i="1" s="1"/>
  <c r="I435" i="1" s="1"/>
  <c r="I530" i="1" s="1"/>
  <c r="B417" i="1"/>
  <c r="D417" i="1"/>
  <c r="E417" i="1"/>
  <c r="F417" i="1"/>
  <c r="G417" i="1"/>
  <c r="H417" i="1"/>
  <c r="I417" i="1"/>
  <c r="D418" i="1"/>
  <c r="E418" i="1"/>
  <c r="F418" i="1"/>
  <c r="G418" i="1"/>
  <c r="H418" i="1"/>
  <c r="I418" i="1"/>
  <c r="D419" i="1"/>
  <c r="E419" i="1"/>
  <c r="F419" i="1"/>
  <c r="G419" i="1"/>
  <c r="H419" i="1"/>
  <c r="I419" i="1"/>
  <c r="B420" i="1"/>
  <c r="D420" i="1"/>
  <c r="E420" i="1"/>
  <c r="F420" i="1"/>
  <c r="G420" i="1"/>
  <c r="H420" i="1"/>
  <c r="I420" i="1"/>
  <c r="D421" i="1"/>
  <c r="E421" i="1"/>
  <c r="F421" i="1"/>
  <c r="G421" i="1"/>
  <c r="H421" i="1"/>
  <c r="I421" i="1"/>
  <c r="D422" i="1"/>
  <c r="E422" i="1"/>
  <c r="F422" i="1"/>
  <c r="G422" i="1"/>
  <c r="H422" i="1"/>
  <c r="I422" i="1"/>
  <c r="B423" i="1"/>
  <c r="D423" i="1"/>
  <c r="E423" i="1"/>
  <c r="F423" i="1"/>
  <c r="G423" i="1"/>
  <c r="H423" i="1"/>
  <c r="I423" i="1"/>
  <c r="D424" i="1"/>
  <c r="E424" i="1"/>
  <c r="F424" i="1"/>
  <c r="G424" i="1"/>
  <c r="H424" i="1"/>
  <c r="I424" i="1"/>
  <c r="D425" i="1"/>
  <c r="E425" i="1"/>
  <c r="F425" i="1"/>
  <c r="G425" i="1"/>
  <c r="H425" i="1"/>
  <c r="I425" i="1"/>
  <c r="B426" i="1"/>
  <c r="D426" i="1"/>
  <c r="E426" i="1"/>
  <c r="F426" i="1"/>
  <c r="G426" i="1"/>
  <c r="H426" i="1"/>
  <c r="I426" i="1"/>
  <c r="D427" i="1"/>
  <c r="E427" i="1"/>
  <c r="F427" i="1"/>
  <c r="G427" i="1"/>
  <c r="H427" i="1"/>
  <c r="I427" i="1"/>
  <c r="D428" i="1"/>
  <c r="E428" i="1"/>
  <c r="F428" i="1"/>
  <c r="G428" i="1"/>
  <c r="H428" i="1"/>
  <c r="I428" i="1"/>
  <c r="B429" i="1"/>
  <c r="D429" i="1"/>
  <c r="E429" i="1"/>
  <c r="F429" i="1"/>
  <c r="G429" i="1"/>
  <c r="H429" i="1"/>
  <c r="I429" i="1"/>
  <c r="D430" i="1"/>
  <c r="E430" i="1"/>
  <c r="F430" i="1"/>
  <c r="G430" i="1"/>
  <c r="H430" i="1"/>
  <c r="I430" i="1"/>
  <c r="D431" i="1"/>
  <c r="E431" i="1"/>
  <c r="F431" i="1"/>
  <c r="G431" i="1"/>
  <c r="H431" i="1"/>
  <c r="I431" i="1"/>
  <c r="B432" i="1"/>
  <c r="D432" i="1"/>
  <c r="E432" i="1"/>
  <c r="H432" i="1"/>
  <c r="F433" i="1"/>
  <c r="H433" i="1"/>
  <c r="I433" i="1"/>
  <c r="D434" i="1"/>
  <c r="D435" i="1" s="1"/>
  <c r="D530" i="1"/>
  <c r="G434" i="1"/>
  <c r="G435" i="1" s="1"/>
  <c r="G530" i="1" s="1"/>
  <c r="H434" i="1"/>
  <c r="H435" i="1"/>
  <c r="H530" i="1" s="1"/>
  <c r="B435" i="1"/>
  <c r="C435" i="1"/>
  <c r="B436" i="1"/>
  <c r="D436" i="1"/>
  <c r="E436" i="1"/>
  <c r="F436" i="1"/>
  <c r="G436" i="1"/>
  <c r="G454" i="1" s="1"/>
  <c r="H436" i="1"/>
  <c r="H454" i="1" s="1"/>
  <c r="I436" i="1"/>
  <c r="J436" i="1"/>
  <c r="J454" i="1" s="1"/>
  <c r="D437" i="1"/>
  <c r="E437" i="1"/>
  <c r="E455" i="1" s="1"/>
  <c r="F437" i="1"/>
  <c r="G437" i="1"/>
  <c r="G455" i="1" s="1"/>
  <c r="H437" i="1"/>
  <c r="I437" i="1"/>
  <c r="I455" i="1" s="1"/>
  <c r="J437" i="1"/>
  <c r="D438" i="1"/>
  <c r="E438" i="1"/>
  <c r="F438" i="1"/>
  <c r="G438" i="1"/>
  <c r="H438" i="1"/>
  <c r="H456" i="1" s="1"/>
  <c r="I438" i="1"/>
  <c r="J438" i="1"/>
  <c r="J456" i="1" s="1"/>
  <c r="J457" i="1" s="1"/>
  <c r="J531" i="1" s="1"/>
  <c r="B439" i="1"/>
  <c r="D439" i="1"/>
  <c r="E439" i="1"/>
  <c r="F439" i="1"/>
  <c r="G439" i="1"/>
  <c r="H439" i="1"/>
  <c r="I439" i="1"/>
  <c r="J439" i="1"/>
  <c r="D440" i="1"/>
  <c r="E440" i="1"/>
  <c r="F440" i="1"/>
  <c r="G440" i="1"/>
  <c r="H440" i="1"/>
  <c r="I440" i="1"/>
  <c r="J440" i="1"/>
  <c r="D441" i="1"/>
  <c r="E441" i="1"/>
  <c r="F441" i="1"/>
  <c r="G441" i="1"/>
  <c r="H441" i="1"/>
  <c r="I441" i="1"/>
  <c r="J441" i="1"/>
  <c r="B442" i="1"/>
  <c r="D442" i="1"/>
  <c r="E442" i="1"/>
  <c r="F442" i="1"/>
  <c r="G442" i="1"/>
  <c r="H442" i="1"/>
  <c r="I442" i="1"/>
  <c r="J442" i="1"/>
  <c r="D443" i="1"/>
  <c r="E443" i="1"/>
  <c r="F443" i="1"/>
  <c r="G443" i="1"/>
  <c r="H443" i="1"/>
  <c r="I443" i="1"/>
  <c r="J443" i="1"/>
  <c r="D444" i="1"/>
  <c r="E444" i="1"/>
  <c r="F444" i="1"/>
  <c r="G444" i="1"/>
  <c r="H444" i="1"/>
  <c r="I444" i="1"/>
  <c r="J444" i="1"/>
  <c r="B445" i="1"/>
  <c r="D445" i="1"/>
  <c r="E445" i="1"/>
  <c r="F445" i="1"/>
  <c r="G445" i="1"/>
  <c r="H445" i="1"/>
  <c r="I445" i="1"/>
  <c r="J445" i="1"/>
  <c r="D446" i="1"/>
  <c r="E446" i="1"/>
  <c r="F446" i="1"/>
  <c r="G446" i="1"/>
  <c r="H446" i="1"/>
  <c r="I446" i="1"/>
  <c r="J446" i="1"/>
  <c r="D447" i="1"/>
  <c r="E447" i="1"/>
  <c r="F447" i="1"/>
  <c r="G447" i="1"/>
  <c r="H447" i="1"/>
  <c r="I447" i="1"/>
  <c r="J447" i="1"/>
  <c r="B448" i="1"/>
  <c r="D448" i="1"/>
  <c r="E448" i="1"/>
  <c r="F448" i="1"/>
  <c r="G448" i="1"/>
  <c r="H448" i="1"/>
  <c r="I448" i="1"/>
  <c r="J448" i="1"/>
  <c r="D449" i="1"/>
  <c r="E449" i="1"/>
  <c r="F449" i="1"/>
  <c r="G449" i="1"/>
  <c r="H449" i="1"/>
  <c r="I449" i="1"/>
  <c r="J449" i="1"/>
  <c r="D450" i="1"/>
  <c r="E450" i="1"/>
  <c r="F450" i="1"/>
  <c r="G450" i="1"/>
  <c r="H450" i="1"/>
  <c r="I450" i="1"/>
  <c r="J450" i="1"/>
  <c r="B451" i="1"/>
  <c r="D451" i="1"/>
  <c r="E451" i="1"/>
  <c r="F451" i="1"/>
  <c r="G451" i="1"/>
  <c r="H451" i="1"/>
  <c r="I451" i="1"/>
  <c r="J451" i="1"/>
  <c r="D452" i="1"/>
  <c r="E452" i="1"/>
  <c r="F452" i="1"/>
  <c r="G452" i="1"/>
  <c r="H452" i="1"/>
  <c r="I452" i="1"/>
  <c r="J452" i="1"/>
  <c r="D453" i="1"/>
  <c r="E453" i="1"/>
  <c r="F453" i="1"/>
  <c r="G453" i="1"/>
  <c r="H453" i="1"/>
  <c r="I453" i="1"/>
  <c r="J453" i="1"/>
  <c r="B454" i="1"/>
  <c r="D454" i="1"/>
  <c r="E454" i="1"/>
  <c r="F454" i="1"/>
  <c r="I454" i="1"/>
  <c r="D455" i="1"/>
  <c r="F455" i="1"/>
  <c r="H455" i="1"/>
  <c r="J455" i="1"/>
  <c r="D456" i="1"/>
  <c r="D457" i="1" s="1"/>
  <c r="D531" i="1" s="1"/>
  <c r="E456" i="1"/>
  <c r="F456" i="1"/>
  <c r="F457" i="1"/>
  <c r="F531" i="1" s="1"/>
  <c r="G456" i="1"/>
  <c r="G457" i="1"/>
  <c r="G531" i="1"/>
  <c r="H457" i="1"/>
  <c r="H531" i="1" s="1"/>
  <c r="I456" i="1"/>
  <c r="B457" i="1"/>
  <c r="C457" i="1"/>
  <c r="B458" i="1"/>
  <c r="D458" i="1"/>
  <c r="D476" i="1" s="1"/>
  <c r="E458" i="1"/>
  <c r="E476" i="1" s="1"/>
  <c r="F458" i="1"/>
  <c r="G458" i="1"/>
  <c r="H458" i="1"/>
  <c r="I458" i="1"/>
  <c r="I476" i="1" s="1"/>
  <c r="J458" i="1"/>
  <c r="K458" i="1"/>
  <c r="D459" i="1"/>
  <c r="E459" i="1"/>
  <c r="E477" i="1" s="1"/>
  <c r="F459" i="1"/>
  <c r="G459" i="1"/>
  <c r="H459" i="1"/>
  <c r="H477" i="1" s="1"/>
  <c r="I459" i="1"/>
  <c r="I477" i="1" s="1"/>
  <c r="J459" i="1"/>
  <c r="K459" i="1"/>
  <c r="D460" i="1"/>
  <c r="D478" i="1" s="1"/>
  <c r="D479" i="1" s="1"/>
  <c r="D532" i="1" s="1"/>
  <c r="E460" i="1"/>
  <c r="E478" i="1" s="1"/>
  <c r="E479" i="1" s="1"/>
  <c r="E532" i="1" s="1"/>
  <c r="F460" i="1"/>
  <c r="G460" i="1"/>
  <c r="H460" i="1"/>
  <c r="H478" i="1" s="1"/>
  <c r="H479" i="1" s="1"/>
  <c r="H532" i="1" s="1"/>
  <c r="I460" i="1"/>
  <c r="I478" i="1" s="1"/>
  <c r="I479" i="1" s="1"/>
  <c r="I532" i="1" s="1"/>
  <c r="J460" i="1"/>
  <c r="K460" i="1"/>
  <c r="B461" i="1"/>
  <c r="D461" i="1"/>
  <c r="E461" i="1"/>
  <c r="F461" i="1"/>
  <c r="G461" i="1"/>
  <c r="H461" i="1"/>
  <c r="I461" i="1"/>
  <c r="J461" i="1"/>
  <c r="K461" i="1"/>
  <c r="D462" i="1"/>
  <c r="E462" i="1"/>
  <c r="F462" i="1"/>
  <c r="G462" i="1"/>
  <c r="H462" i="1"/>
  <c r="I462" i="1"/>
  <c r="J462" i="1"/>
  <c r="K462" i="1"/>
  <c r="D463" i="1"/>
  <c r="E463" i="1"/>
  <c r="F463" i="1"/>
  <c r="G463" i="1"/>
  <c r="H463" i="1"/>
  <c r="I463" i="1"/>
  <c r="J463" i="1"/>
  <c r="K463" i="1"/>
  <c r="B464" i="1"/>
  <c r="D464" i="1"/>
  <c r="E464" i="1"/>
  <c r="F464" i="1"/>
  <c r="G464" i="1"/>
  <c r="H464" i="1"/>
  <c r="I464" i="1"/>
  <c r="J464" i="1"/>
  <c r="K464" i="1"/>
  <c r="D465" i="1"/>
  <c r="E465" i="1"/>
  <c r="F465" i="1"/>
  <c r="G465" i="1"/>
  <c r="H465" i="1"/>
  <c r="I465" i="1"/>
  <c r="J465" i="1"/>
  <c r="K465" i="1"/>
  <c r="D466" i="1"/>
  <c r="E466" i="1"/>
  <c r="F466" i="1"/>
  <c r="G466" i="1"/>
  <c r="H466" i="1"/>
  <c r="I466" i="1"/>
  <c r="J466" i="1"/>
  <c r="K466" i="1"/>
  <c r="B467" i="1"/>
  <c r="D467" i="1"/>
  <c r="E467" i="1"/>
  <c r="F467" i="1"/>
  <c r="G467" i="1"/>
  <c r="H467" i="1"/>
  <c r="I467" i="1"/>
  <c r="J467" i="1"/>
  <c r="K467" i="1"/>
  <c r="D468" i="1"/>
  <c r="E468" i="1"/>
  <c r="F468" i="1"/>
  <c r="G468" i="1"/>
  <c r="H468" i="1"/>
  <c r="I468" i="1"/>
  <c r="J468" i="1"/>
  <c r="K468" i="1"/>
  <c r="D469" i="1"/>
  <c r="E469" i="1"/>
  <c r="F469" i="1"/>
  <c r="G469" i="1"/>
  <c r="H469" i="1"/>
  <c r="I469" i="1"/>
  <c r="J469" i="1"/>
  <c r="K469" i="1"/>
  <c r="B470" i="1"/>
  <c r="D470" i="1"/>
  <c r="E470" i="1"/>
  <c r="F470" i="1"/>
  <c r="G470" i="1"/>
  <c r="H470" i="1"/>
  <c r="I470" i="1"/>
  <c r="J470" i="1"/>
  <c r="K470" i="1"/>
  <c r="D471" i="1"/>
  <c r="E471" i="1"/>
  <c r="F471" i="1"/>
  <c r="G471" i="1"/>
  <c r="H471" i="1"/>
  <c r="I471" i="1"/>
  <c r="J471" i="1"/>
  <c r="K471" i="1"/>
  <c r="D472" i="1"/>
  <c r="E472" i="1"/>
  <c r="F472" i="1"/>
  <c r="G472" i="1"/>
  <c r="H472" i="1"/>
  <c r="I472" i="1"/>
  <c r="J472" i="1"/>
  <c r="K472" i="1"/>
  <c r="B473" i="1"/>
  <c r="D473" i="1"/>
  <c r="E473" i="1"/>
  <c r="F473" i="1"/>
  <c r="G473" i="1"/>
  <c r="H473" i="1"/>
  <c r="I473" i="1"/>
  <c r="J473" i="1"/>
  <c r="K473" i="1"/>
  <c r="D474" i="1"/>
  <c r="E474" i="1"/>
  <c r="F474" i="1"/>
  <c r="G474" i="1"/>
  <c r="H474" i="1"/>
  <c r="I474" i="1"/>
  <c r="J474" i="1"/>
  <c r="K474" i="1"/>
  <c r="D475" i="1"/>
  <c r="E475" i="1"/>
  <c r="F475" i="1"/>
  <c r="G475" i="1"/>
  <c r="H475" i="1"/>
  <c r="I475" i="1"/>
  <c r="J475" i="1"/>
  <c r="K475" i="1"/>
  <c r="B476" i="1"/>
  <c r="F476" i="1"/>
  <c r="G476" i="1"/>
  <c r="H476" i="1"/>
  <c r="J476" i="1"/>
  <c r="K476" i="1"/>
  <c r="D477" i="1"/>
  <c r="F477" i="1"/>
  <c r="G477" i="1"/>
  <c r="J477" i="1"/>
  <c r="K477" i="1"/>
  <c r="F478" i="1"/>
  <c r="F479" i="1" s="1"/>
  <c r="F532" i="1" s="1"/>
  <c r="G478" i="1"/>
  <c r="J478" i="1"/>
  <c r="J479" i="1" s="1"/>
  <c r="K478" i="1"/>
  <c r="B479" i="1"/>
  <c r="C479" i="1"/>
  <c r="B480" i="1"/>
  <c r="D480" i="1"/>
  <c r="E480" i="1"/>
  <c r="F480" i="1"/>
  <c r="G480" i="1"/>
  <c r="H480" i="1"/>
  <c r="I480" i="1"/>
  <c r="J480" i="1"/>
  <c r="K480" i="1"/>
  <c r="L480" i="1"/>
  <c r="D481" i="1"/>
  <c r="E481" i="1"/>
  <c r="F481" i="1"/>
  <c r="G481" i="1"/>
  <c r="H481" i="1"/>
  <c r="I481" i="1"/>
  <c r="J481" i="1"/>
  <c r="K481" i="1"/>
  <c r="L481" i="1"/>
  <c r="D482" i="1"/>
  <c r="E482" i="1"/>
  <c r="F482" i="1"/>
  <c r="F500" i="1" s="1"/>
  <c r="F501" i="1" s="1"/>
  <c r="F533" i="1" s="1"/>
  <c r="G482" i="1"/>
  <c r="H482" i="1"/>
  <c r="I482" i="1"/>
  <c r="J482" i="1"/>
  <c r="J500" i="1" s="1"/>
  <c r="K482" i="1"/>
  <c r="L482" i="1"/>
  <c r="B483" i="1"/>
  <c r="D483" i="1"/>
  <c r="E483" i="1"/>
  <c r="F483" i="1"/>
  <c r="G483" i="1"/>
  <c r="H483" i="1"/>
  <c r="I483" i="1"/>
  <c r="J483" i="1"/>
  <c r="K483" i="1"/>
  <c r="L483" i="1"/>
  <c r="D484" i="1"/>
  <c r="E484" i="1"/>
  <c r="F484" i="1"/>
  <c r="G484" i="1"/>
  <c r="H484" i="1"/>
  <c r="I484" i="1"/>
  <c r="J484" i="1"/>
  <c r="K484" i="1"/>
  <c r="L484" i="1"/>
  <c r="D485" i="1"/>
  <c r="E485" i="1"/>
  <c r="F485" i="1"/>
  <c r="G485" i="1"/>
  <c r="H485" i="1"/>
  <c r="I485" i="1"/>
  <c r="J485" i="1"/>
  <c r="K485" i="1"/>
  <c r="L485" i="1"/>
  <c r="B486" i="1"/>
  <c r="D486" i="1"/>
  <c r="E486" i="1"/>
  <c r="F486" i="1"/>
  <c r="G486" i="1"/>
  <c r="H486" i="1"/>
  <c r="I486" i="1"/>
  <c r="J486" i="1"/>
  <c r="K486" i="1"/>
  <c r="L486" i="1"/>
  <c r="D487" i="1"/>
  <c r="E487" i="1"/>
  <c r="F487" i="1"/>
  <c r="G487" i="1"/>
  <c r="H487" i="1"/>
  <c r="I487" i="1"/>
  <c r="J487" i="1"/>
  <c r="K487" i="1"/>
  <c r="L487" i="1"/>
  <c r="D488" i="1"/>
  <c r="E488" i="1"/>
  <c r="F488" i="1"/>
  <c r="G488" i="1"/>
  <c r="H488" i="1"/>
  <c r="I488" i="1"/>
  <c r="J488" i="1"/>
  <c r="K488" i="1"/>
  <c r="L488" i="1"/>
  <c r="B489" i="1"/>
  <c r="D489" i="1"/>
  <c r="E489" i="1"/>
  <c r="F489" i="1"/>
  <c r="G489" i="1"/>
  <c r="H489" i="1"/>
  <c r="I489" i="1"/>
  <c r="J489" i="1"/>
  <c r="K489" i="1"/>
  <c r="L489" i="1"/>
  <c r="D490" i="1"/>
  <c r="E490" i="1"/>
  <c r="F490" i="1"/>
  <c r="G490" i="1"/>
  <c r="H490" i="1"/>
  <c r="I490" i="1"/>
  <c r="J490" i="1"/>
  <c r="K490" i="1"/>
  <c r="L490" i="1"/>
  <c r="D491" i="1"/>
  <c r="E491" i="1"/>
  <c r="F491" i="1"/>
  <c r="G491" i="1"/>
  <c r="H491" i="1"/>
  <c r="I491" i="1"/>
  <c r="J491" i="1"/>
  <c r="K491" i="1"/>
  <c r="L491" i="1"/>
  <c r="B492"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B495" i="1"/>
  <c r="D495" i="1"/>
  <c r="E495" i="1"/>
  <c r="F495" i="1"/>
  <c r="G495" i="1"/>
  <c r="H495" i="1"/>
  <c r="I495" i="1"/>
  <c r="J495" i="1"/>
  <c r="K495" i="1"/>
  <c r="L495" i="1"/>
  <c r="D496" i="1"/>
  <c r="E496" i="1"/>
  <c r="F496" i="1"/>
  <c r="G496" i="1"/>
  <c r="H496" i="1"/>
  <c r="I496" i="1"/>
  <c r="J496" i="1"/>
  <c r="K496" i="1"/>
  <c r="L496" i="1"/>
  <c r="D497" i="1"/>
  <c r="E497" i="1"/>
  <c r="F497" i="1"/>
  <c r="G497" i="1"/>
  <c r="H497" i="1"/>
  <c r="I497" i="1"/>
  <c r="J497" i="1"/>
  <c r="K497" i="1"/>
  <c r="L497" i="1"/>
  <c r="B498" i="1"/>
  <c r="D498" i="1"/>
  <c r="E498" i="1"/>
  <c r="F498" i="1"/>
  <c r="G498" i="1"/>
  <c r="H498" i="1"/>
  <c r="I498" i="1"/>
  <c r="J498" i="1"/>
  <c r="K498" i="1"/>
  <c r="L498" i="1"/>
  <c r="D499" i="1"/>
  <c r="E499" i="1"/>
  <c r="F499" i="1"/>
  <c r="G499" i="1"/>
  <c r="H499" i="1"/>
  <c r="I499" i="1"/>
  <c r="J499" i="1"/>
  <c r="K499" i="1"/>
  <c r="L499" i="1"/>
  <c r="D500" i="1"/>
  <c r="D501" i="1"/>
  <c r="D533" i="1"/>
  <c r="E500" i="1"/>
  <c r="E501" i="1" s="1"/>
  <c r="E533" i="1"/>
  <c r="G500" i="1"/>
  <c r="G501" i="1"/>
  <c r="G533" i="1" s="1"/>
  <c r="H500" i="1"/>
  <c r="H501" i="1"/>
  <c r="H533" i="1"/>
  <c r="I500" i="1"/>
  <c r="J501" i="1"/>
  <c r="J533" i="1"/>
  <c r="K500" i="1"/>
  <c r="K501" i="1" s="1"/>
  <c r="K533" i="1" s="1"/>
  <c r="L500" i="1"/>
  <c r="L501" i="1"/>
  <c r="L533" i="1" s="1"/>
  <c r="B501" i="1"/>
  <c r="C501" i="1"/>
  <c r="B502" i="1"/>
  <c r="D502" i="1"/>
  <c r="E502" i="1"/>
  <c r="E520" i="1" s="1"/>
  <c r="F502" i="1"/>
  <c r="F520" i="1" s="1"/>
  <c r="G502" i="1"/>
  <c r="H502" i="1"/>
  <c r="I502" i="1"/>
  <c r="I520" i="1" s="1"/>
  <c r="J502" i="1"/>
  <c r="J520" i="1" s="1"/>
  <c r="K502" i="1"/>
  <c r="L502" i="1"/>
  <c r="M502" i="1"/>
  <c r="D503" i="1"/>
  <c r="D521" i="1" s="1"/>
  <c r="E503" i="1"/>
  <c r="E521" i="1" s="1"/>
  <c r="F503" i="1"/>
  <c r="G503" i="1"/>
  <c r="G521" i="1" s="1"/>
  <c r="H503" i="1"/>
  <c r="H521" i="1" s="1"/>
  <c r="I503" i="1"/>
  <c r="J503" i="1"/>
  <c r="K503" i="1"/>
  <c r="K521" i="1" s="1"/>
  <c r="L503" i="1"/>
  <c r="L521" i="1" s="1"/>
  <c r="M503" i="1"/>
  <c r="D504" i="1"/>
  <c r="E504" i="1"/>
  <c r="E522" i="1" s="1"/>
  <c r="E523" i="1" s="1"/>
  <c r="E534" i="1" s="1"/>
  <c r="F504" i="1"/>
  <c r="G504" i="1"/>
  <c r="G522" i="1" s="1"/>
  <c r="G523" i="1" s="1"/>
  <c r="G534" i="1" s="1"/>
  <c r="H504" i="1"/>
  <c r="I504" i="1"/>
  <c r="I522" i="1" s="1"/>
  <c r="I523" i="1" s="1"/>
  <c r="I534" i="1" s="1"/>
  <c r="J504" i="1"/>
  <c r="J522" i="1" s="1"/>
  <c r="K504" i="1"/>
  <c r="L504" i="1"/>
  <c r="M504" i="1"/>
  <c r="M522" i="1" s="1"/>
  <c r="M523" i="1" s="1"/>
  <c r="M534" i="1" s="1"/>
  <c r="B505" i="1"/>
  <c r="D505" i="1"/>
  <c r="E505" i="1"/>
  <c r="F505" i="1"/>
  <c r="G505" i="1"/>
  <c r="H505" i="1"/>
  <c r="I505" i="1"/>
  <c r="J505" i="1"/>
  <c r="K505" i="1"/>
  <c r="L505" i="1"/>
  <c r="M505" i="1"/>
  <c r="D506" i="1"/>
  <c r="E506" i="1"/>
  <c r="F506" i="1"/>
  <c r="G506" i="1"/>
  <c r="H506" i="1"/>
  <c r="I506" i="1"/>
  <c r="J506" i="1"/>
  <c r="K506" i="1"/>
  <c r="L506" i="1"/>
  <c r="M506" i="1"/>
  <c r="D507" i="1"/>
  <c r="E507" i="1"/>
  <c r="F507" i="1"/>
  <c r="G507" i="1"/>
  <c r="H507" i="1"/>
  <c r="I507" i="1"/>
  <c r="J507" i="1"/>
  <c r="K507" i="1"/>
  <c r="L507" i="1"/>
  <c r="M507" i="1"/>
  <c r="B508" i="1"/>
  <c r="D508" i="1"/>
  <c r="E508" i="1"/>
  <c r="F508" i="1"/>
  <c r="G508" i="1"/>
  <c r="H508" i="1"/>
  <c r="I508" i="1"/>
  <c r="J508" i="1"/>
  <c r="K508" i="1"/>
  <c r="L508" i="1"/>
  <c r="M508" i="1"/>
  <c r="D509" i="1"/>
  <c r="E509" i="1"/>
  <c r="F509" i="1"/>
  <c r="G509" i="1"/>
  <c r="H509" i="1"/>
  <c r="I509" i="1"/>
  <c r="J509" i="1"/>
  <c r="K509" i="1"/>
  <c r="L509" i="1"/>
  <c r="M509" i="1"/>
  <c r="D510" i="1"/>
  <c r="E510" i="1"/>
  <c r="F510" i="1"/>
  <c r="G510" i="1"/>
  <c r="H510" i="1"/>
  <c r="I510" i="1"/>
  <c r="J510" i="1"/>
  <c r="K510" i="1"/>
  <c r="L510" i="1"/>
  <c r="M510" i="1"/>
  <c r="B511" i="1"/>
  <c r="D511" i="1"/>
  <c r="E511" i="1"/>
  <c r="F511" i="1"/>
  <c r="G511" i="1"/>
  <c r="H511" i="1"/>
  <c r="I511" i="1"/>
  <c r="J511" i="1"/>
  <c r="K511" i="1"/>
  <c r="L511" i="1"/>
  <c r="M511" i="1"/>
  <c r="D512" i="1"/>
  <c r="E512" i="1"/>
  <c r="F512" i="1"/>
  <c r="G512" i="1"/>
  <c r="H512" i="1"/>
  <c r="I512" i="1"/>
  <c r="J512" i="1"/>
  <c r="K512" i="1"/>
  <c r="L512" i="1"/>
  <c r="M512" i="1"/>
  <c r="D513" i="1"/>
  <c r="E513" i="1"/>
  <c r="F513" i="1"/>
  <c r="G513" i="1"/>
  <c r="H513" i="1"/>
  <c r="I513" i="1"/>
  <c r="J513" i="1"/>
  <c r="K513" i="1"/>
  <c r="L513" i="1"/>
  <c r="M513" i="1"/>
  <c r="B514" i="1"/>
  <c r="D514" i="1"/>
  <c r="E514" i="1"/>
  <c r="F514" i="1"/>
  <c r="G514" i="1"/>
  <c r="H514" i="1"/>
  <c r="I514" i="1"/>
  <c r="J514" i="1"/>
  <c r="K514" i="1"/>
  <c r="L514" i="1"/>
  <c r="M514" i="1"/>
  <c r="D515" i="1"/>
  <c r="E515" i="1"/>
  <c r="F515" i="1"/>
  <c r="G515" i="1"/>
  <c r="H515" i="1"/>
  <c r="I515" i="1"/>
  <c r="J515" i="1"/>
  <c r="K515" i="1"/>
  <c r="L515" i="1"/>
  <c r="M515" i="1"/>
  <c r="D516" i="1"/>
  <c r="E516" i="1"/>
  <c r="F516" i="1"/>
  <c r="G516" i="1"/>
  <c r="H516" i="1"/>
  <c r="I516" i="1"/>
  <c r="J516" i="1"/>
  <c r="K516" i="1"/>
  <c r="L516" i="1"/>
  <c r="M516" i="1"/>
  <c r="B517" i="1"/>
  <c r="D517" i="1"/>
  <c r="E517" i="1"/>
  <c r="F517" i="1"/>
  <c r="G517" i="1"/>
  <c r="H517" i="1"/>
  <c r="I517" i="1"/>
  <c r="J517" i="1"/>
  <c r="K517" i="1"/>
  <c r="L517" i="1"/>
  <c r="M517" i="1"/>
  <c r="D518" i="1"/>
  <c r="E518" i="1"/>
  <c r="F518" i="1"/>
  <c r="G518" i="1"/>
  <c r="H518" i="1"/>
  <c r="I518" i="1"/>
  <c r="J518" i="1"/>
  <c r="K518" i="1"/>
  <c r="L518" i="1"/>
  <c r="M518" i="1"/>
  <c r="D519" i="1"/>
  <c r="E519" i="1"/>
  <c r="F519" i="1"/>
  <c r="G519" i="1"/>
  <c r="H519" i="1"/>
  <c r="I519" i="1"/>
  <c r="J519" i="1"/>
  <c r="K519" i="1"/>
  <c r="L519" i="1"/>
  <c r="M519" i="1"/>
  <c r="B520" i="1"/>
  <c r="D520" i="1"/>
  <c r="G520" i="1"/>
  <c r="H520" i="1"/>
  <c r="K520" i="1"/>
  <c r="L520" i="1"/>
  <c r="M520" i="1"/>
  <c r="F521" i="1"/>
  <c r="I521" i="1"/>
  <c r="J521" i="1"/>
  <c r="M521" i="1"/>
  <c r="D522" i="1"/>
  <c r="F522" i="1"/>
  <c r="F523" i="1"/>
  <c r="F534" i="1" s="1"/>
  <c r="H522" i="1"/>
  <c r="J523" i="1"/>
  <c r="J534" i="1" s="1"/>
  <c r="K522" i="1"/>
  <c r="K523" i="1" s="1"/>
  <c r="K534" i="1"/>
  <c r="L522" i="1"/>
  <c r="B523" i="1"/>
  <c r="C523" i="1"/>
  <c r="B524" i="1"/>
  <c r="C524" i="1"/>
  <c r="B525" i="1"/>
  <c r="C525" i="1"/>
  <c r="B526" i="1"/>
  <c r="C526" i="1"/>
  <c r="B527" i="1"/>
  <c r="C527" i="1"/>
  <c r="B528" i="1"/>
  <c r="C528" i="1"/>
  <c r="B529" i="1"/>
  <c r="C529" i="1"/>
  <c r="B530" i="1"/>
  <c r="C530" i="1"/>
  <c r="B531" i="1"/>
  <c r="C531" i="1"/>
  <c r="B532" i="1"/>
  <c r="C532" i="1"/>
  <c r="B533" i="1"/>
  <c r="C533" i="1"/>
  <c r="B534" i="1"/>
  <c r="C534" i="1"/>
  <c r="B535" i="1"/>
  <c r="C535" i="1"/>
  <c r="A35" i="19"/>
  <c r="A36" i="19"/>
  <c r="A37" i="19"/>
  <c r="A39" i="19"/>
  <c r="A40" i="19"/>
  <c r="A41" i="19"/>
  <c r="A43" i="19"/>
  <c r="A44" i="19"/>
  <c r="A45" i="19"/>
  <c r="A47" i="19"/>
  <c r="A48" i="19"/>
  <c r="A49" i="19"/>
  <c r="A51" i="19"/>
  <c r="A52" i="19"/>
  <c r="A53" i="19"/>
  <c r="B57" i="19"/>
  <c r="C57" i="19"/>
  <c r="D57" i="19"/>
  <c r="E57" i="19"/>
  <c r="F57" i="19"/>
  <c r="G57" i="19"/>
  <c r="B65" i="19"/>
  <c r="C65" i="19"/>
  <c r="D65" i="19"/>
  <c r="E65" i="19"/>
  <c r="F65" i="19"/>
  <c r="G65" i="19"/>
  <c r="B69" i="19"/>
  <c r="C69" i="19"/>
  <c r="D69" i="19"/>
  <c r="E69" i="19"/>
  <c r="F69" i="19"/>
  <c r="G69" i="19"/>
  <c r="A72" i="19"/>
  <c r="A73" i="19"/>
  <c r="A74" i="19"/>
  <c r="M74" i="19"/>
  <c r="N74" i="19"/>
  <c r="A75" i="19"/>
  <c r="M75" i="19"/>
  <c r="N75" i="19"/>
  <c r="A76" i="19"/>
  <c r="M76" i="19"/>
  <c r="N76" i="19"/>
  <c r="A77" i="19"/>
  <c r="M77" i="19"/>
  <c r="A78" i="19"/>
  <c r="A79" i="19"/>
  <c r="A80" i="19"/>
  <c r="A81" i="19"/>
  <c r="A82" i="19"/>
  <c r="A83" i="19"/>
  <c r="A84" i="19"/>
  <c r="A85" i="19"/>
  <c r="A86" i="19"/>
  <c r="B87" i="19"/>
  <c r="B234" i="19" s="1"/>
  <c r="C87" i="19"/>
  <c r="C234" i="19"/>
  <c r="C235" i="19" s="1"/>
  <c r="A88" i="19"/>
  <c r="B90" i="19"/>
  <c r="C90" i="19"/>
  <c r="D90" i="19"/>
  <c r="E90" i="19"/>
  <c r="F90" i="19"/>
  <c r="G90" i="19"/>
  <c r="B94" i="19"/>
  <c r="C94" i="19"/>
  <c r="D94" i="19"/>
  <c r="E94" i="19"/>
  <c r="F94" i="19"/>
  <c r="G94" i="19"/>
  <c r="A97" i="19"/>
  <c r="A98" i="19"/>
  <c r="A99" i="19"/>
  <c r="A100" i="19"/>
  <c r="A101" i="19"/>
  <c r="A102" i="19"/>
  <c r="A103" i="19"/>
  <c r="A104" i="19"/>
  <c r="A105" i="19"/>
  <c r="A106" i="19"/>
  <c r="A107" i="19"/>
  <c r="A108" i="19"/>
  <c r="A109" i="19"/>
  <c r="A110" i="19"/>
  <c r="A111" i="19"/>
  <c r="D112" i="19"/>
  <c r="E112" i="19"/>
  <c r="F112" i="19"/>
  <c r="G112" i="19"/>
  <c r="A113" i="19"/>
  <c r="B115" i="19"/>
  <c r="C115" i="19"/>
  <c r="D115" i="19"/>
  <c r="E115" i="19"/>
  <c r="F115" i="19"/>
  <c r="G115" i="19"/>
  <c r="B119" i="19"/>
  <c r="C119" i="19"/>
  <c r="D119" i="19"/>
  <c r="E119" i="19"/>
  <c r="F119" i="19"/>
  <c r="G119" i="19"/>
  <c r="A122" i="19"/>
  <c r="A123" i="19"/>
  <c r="A124" i="19"/>
  <c r="A125" i="19"/>
  <c r="A126" i="19"/>
  <c r="A127" i="19"/>
  <c r="A128" i="19"/>
  <c r="A129" i="19"/>
  <c r="A130" i="19"/>
  <c r="A131" i="19"/>
  <c r="A132" i="19"/>
  <c r="A133" i="19"/>
  <c r="A134" i="19"/>
  <c r="A135" i="19"/>
  <c r="A136" i="19"/>
  <c r="B137" i="19"/>
  <c r="C137" i="19"/>
  <c r="D137" i="19"/>
  <c r="E137" i="19"/>
  <c r="F137" i="19"/>
  <c r="G137" i="19"/>
  <c r="A138" i="19"/>
  <c r="B140" i="19"/>
  <c r="C140" i="19"/>
  <c r="D140" i="19"/>
  <c r="E140" i="19"/>
  <c r="F140" i="19"/>
  <c r="G140" i="19"/>
  <c r="A144" i="19"/>
  <c r="A145" i="19"/>
  <c r="A146" i="19"/>
  <c r="A147" i="19"/>
  <c r="A148" i="19"/>
  <c r="A149" i="19"/>
  <c r="B151" i="19"/>
  <c r="C151" i="19"/>
  <c r="D151" i="19"/>
  <c r="E151" i="19"/>
  <c r="F151" i="19"/>
  <c r="G151" i="19"/>
  <c r="A152" i="19"/>
  <c r="A153" i="19"/>
  <c r="A154" i="19"/>
  <c r="A155" i="19"/>
  <c r="C170" i="19"/>
  <c r="D170" i="19"/>
  <c r="E170" i="19"/>
  <c r="F170" i="19"/>
  <c r="C175" i="19"/>
  <c r="D175" i="19"/>
  <c r="E175" i="19"/>
  <c r="F175" i="19"/>
  <c r="C179" i="19"/>
  <c r="E179" i="19"/>
  <c r="G179" i="19"/>
  <c r="I179" i="19"/>
  <c r="B180" i="19"/>
  <c r="D180" i="19"/>
  <c r="F180" i="19"/>
  <c r="H180" i="19"/>
  <c r="B181" i="19"/>
  <c r="D181" i="19"/>
  <c r="F181" i="19"/>
  <c r="H181" i="19"/>
  <c r="B182" i="19"/>
  <c r="D182" i="19"/>
  <c r="F182" i="19"/>
  <c r="H182" i="19"/>
  <c r="M187" i="19"/>
  <c r="C191" i="19"/>
  <c r="E191" i="19"/>
  <c r="G191" i="19"/>
  <c r="I191" i="19"/>
  <c r="N191" i="19"/>
  <c r="O191" i="19"/>
  <c r="P191" i="19"/>
  <c r="Q191" i="19"/>
  <c r="B192" i="19"/>
  <c r="D192" i="19"/>
  <c r="F192" i="19"/>
  <c r="H192" i="19"/>
  <c r="B193" i="19"/>
  <c r="D193" i="19"/>
  <c r="F193" i="19"/>
  <c r="H193" i="19"/>
  <c r="B194" i="19"/>
  <c r="D194" i="19"/>
  <c r="F194" i="19"/>
  <c r="H194" i="19"/>
  <c r="C209" i="19"/>
  <c r="D209" i="19"/>
  <c r="E209" i="19"/>
  <c r="F209" i="19"/>
  <c r="G209" i="19"/>
  <c r="A215" i="19"/>
  <c r="A216" i="19"/>
  <c r="A217" i="19"/>
  <c r="A218" i="19"/>
  <c r="A237" i="19"/>
  <c r="A238" i="19"/>
  <c r="A239" i="19"/>
  <c r="A240" i="19"/>
  <c r="B242" i="19"/>
  <c r="C242" i="19"/>
  <c r="D242" i="19"/>
  <c r="E242" i="19"/>
  <c r="F242" i="19"/>
  <c r="G242" i="19"/>
  <c r="B243" i="19"/>
  <c r="C243" i="19"/>
  <c r="D243" i="19"/>
  <c r="E243" i="19"/>
  <c r="F243" i="19"/>
  <c r="G243" i="19"/>
  <c r="M282" i="19" s="1"/>
  <c r="M281" i="19" s="1"/>
  <c r="M279" i="19"/>
  <c r="M280" i="19"/>
  <c r="M284" i="19"/>
  <c r="B345" i="19"/>
  <c r="C345" i="19"/>
  <c r="D345" i="19"/>
  <c r="E345" i="19"/>
  <c r="F345" i="19"/>
  <c r="G345" i="19"/>
  <c r="B346" i="19"/>
  <c r="A416" i="19"/>
  <c r="A417" i="19"/>
  <c r="F435" i="1"/>
  <c r="F530" i="1" s="1"/>
  <c r="F413" i="1"/>
  <c r="F529" i="1"/>
  <c r="M387" i="19"/>
  <c r="F412" i="19" s="1"/>
  <c r="B235" i="19"/>
  <c r="B237" i="19" s="1"/>
  <c r="E528" i="1"/>
  <c r="L523" i="1"/>
  <c r="L534" i="1" s="1"/>
  <c r="H523" i="1"/>
  <c r="H534" i="1"/>
  <c r="D523" i="1"/>
  <c r="D534" i="1" s="1"/>
  <c r="J532" i="1"/>
  <c r="H413" i="1"/>
  <c r="H529" i="1" s="1"/>
  <c r="D529" i="1"/>
  <c r="F391" i="1"/>
  <c r="F528" i="1"/>
  <c r="K479" i="1"/>
  <c r="K532" i="1" s="1"/>
  <c r="G479" i="1"/>
  <c r="G532" i="1"/>
  <c r="G152" i="19"/>
  <c r="Q62" i="1"/>
  <c r="B55" i="19"/>
  <c r="G58" i="1" s="1"/>
  <c r="B218" i="19"/>
  <c r="D239" i="19"/>
  <c r="D240" i="19"/>
  <c r="G218" i="19"/>
  <c r="E154" i="19"/>
  <c r="E217" i="19"/>
  <c r="C218" i="19"/>
  <c r="C154" i="19"/>
  <c r="C217" i="19"/>
  <c r="M62" i="1"/>
  <c r="F63" i="1"/>
  <c r="N63" i="1"/>
  <c r="Z63" i="1"/>
  <c r="L62" i="1"/>
  <c r="T62" i="1"/>
  <c r="I63" i="1"/>
  <c r="U63" i="1"/>
  <c r="G62" i="1"/>
  <c r="S62" i="1"/>
  <c r="H63" i="1"/>
  <c r="P63" i="1"/>
  <c r="F62" i="1"/>
  <c r="R62" i="1"/>
  <c r="Z62" i="1"/>
  <c r="O63" i="1"/>
  <c r="F217" i="19"/>
  <c r="E153" i="19"/>
  <c r="E216" i="19"/>
  <c r="D217" i="19"/>
  <c r="D153" i="19"/>
  <c r="G153" i="19"/>
  <c r="G216" i="19" s="1"/>
  <c r="E155" i="19"/>
  <c r="E218" i="19" s="1"/>
  <c r="D155" i="19"/>
  <c r="D218" i="19" s="1"/>
  <c r="G55" i="19"/>
  <c r="G305" i="19"/>
  <c r="D234" i="1"/>
  <c r="D216" i="19"/>
  <c r="E230" i="1"/>
  <c r="I68" i="1"/>
  <c r="Q68" i="1"/>
  <c r="Y68" i="1"/>
  <c r="J69" i="1"/>
  <c r="R69" i="1"/>
  <c r="Z69" i="1"/>
  <c r="H68" i="1"/>
  <c r="P68" i="1"/>
  <c r="X68" i="1"/>
  <c r="I69" i="1"/>
  <c r="Q69" i="1"/>
  <c r="Y69" i="1"/>
  <c r="K68" i="1"/>
  <c r="S68" i="1"/>
  <c r="D69" i="1"/>
  <c r="L69" i="1"/>
  <c r="T69" i="1"/>
  <c r="R68" i="1"/>
  <c r="N68" i="1"/>
  <c r="W69" i="1"/>
  <c r="Z68" i="1"/>
  <c r="F68" i="1"/>
  <c r="O69" i="1"/>
  <c r="F234" i="1"/>
  <c r="F235" i="1"/>
  <c r="G230" i="1"/>
  <c r="F233" i="1"/>
  <c r="E231" i="1"/>
  <c r="G234" i="1"/>
  <c r="H231" i="1"/>
  <c r="H233" i="1"/>
  <c r="I230" i="1"/>
  <c r="I234" i="1"/>
  <c r="B308" i="19"/>
  <c r="H232" i="1"/>
  <c r="H236" i="1" s="1"/>
  <c r="H235" i="1"/>
  <c r="H237" i="1"/>
  <c r="I232" i="1"/>
  <c r="I236" i="1" s="1"/>
  <c r="J231" i="1"/>
  <c r="J234" i="1"/>
  <c r="J230" i="1"/>
  <c r="J235" i="1"/>
  <c r="J237" i="1"/>
  <c r="J232" i="1"/>
  <c r="J236" i="1" s="1"/>
  <c r="K231" i="1"/>
  <c r="K230" i="1"/>
  <c r="K233" i="1"/>
  <c r="L230" i="1"/>
  <c r="L234" i="1"/>
  <c r="L231" i="1"/>
  <c r="K235" i="1"/>
  <c r="K237" i="1"/>
  <c r="M230" i="1"/>
  <c r="M231" i="1"/>
  <c r="M234" i="1"/>
  <c r="L232" i="1"/>
  <c r="L236" i="1"/>
  <c r="N234" i="1"/>
  <c r="N233" i="1"/>
  <c r="N230" i="1"/>
  <c r="M232" i="1"/>
  <c r="M236" i="1"/>
  <c r="N232" i="1"/>
  <c r="N236" i="1" s="1"/>
  <c r="O234" i="1"/>
  <c r="O230" i="1"/>
  <c r="O233" i="1"/>
  <c r="P233" i="1"/>
  <c r="P231" i="1"/>
  <c r="P234" i="1"/>
  <c r="O235" i="1"/>
  <c r="O237" i="1"/>
  <c r="Q231" i="1"/>
  <c r="P232" i="1"/>
  <c r="P236" i="1" s="1"/>
  <c r="Q233" i="1"/>
  <c r="Q230" i="1"/>
  <c r="R230" i="1"/>
  <c r="Q232" i="1"/>
  <c r="Q236" i="1" s="1"/>
  <c r="R231" i="1"/>
  <c r="R234" i="1"/>
  <c r="S230" i="1"/>
  <c r="R235" i="1"/>
  <c r="R237" i="1" s="1"/>
  <c r="S234" i="1"/>
  <c r="S231" i="1"/>
  <c r="T233" i="1"/>
  <c r="T234" i="1"/>
  <c r="T231" i="1"/>
  <c r="S235" i="1"/>
  <c r="S237" i="1"/>
  <c r="T232" i="1"/>
  <c r="T236" i="1"/>
  <c r="T235" i="1"/>
  <c r="T237" i="1" s="1"/>
  <c r="U230" i="1"/>
  <c r="U233" i="1"/>
  <c r="U235" i="1"/>
  <c r="U237" i="1" s="1"/>
  <c r="V233" i="1"/>
  <c r="V230" i="1"/>
  <c r="V231" i="1"/>
  <c r="W230" i="1"/>
  <c r="W233" i="1"/>
  <c r="V235" i="1"/>
  <c r="V237" i="1" s="1"/>
  <c r="W231" i="1"/>
  <c r="X234" i="1"/>
  <c r="X230" i="1"/>
  <c r="Y233" i="1"/>
  <c r="Y231" i="1"/>
  <c r="Y234" i="1"/>
  <c r="Z234" i="1"/>
  <c r="Z233" i="1"/>
  <c r="Z230" i="1"/>
  <c r="B238" i="19"/>
  <c r="B239" i="19"/>
  <c r="B240" i="19"/>
  <c r="I501" i="1"/>
  <c r="I533" i="1" s="1"/>
  <c r="E413" i="1"/>
  <c r="E529" i="1" s="1"/>
  <c r="G154" i="19"/>
  <c r="G217" i="19" s="1"/>
  <c r="D235" i="1"/>
  <c r="G391" i="1"/>
  <c r="G528" i="1" s="1"/>
  <c r="F152" i="19"/>
  <c r="I457" i="1"/>
  <c r="I531" i="1" s="1"/>
  <c r="E457" i="1"/>
  <c r="E531" i="1"/>
  <c r="D369" i="1"/>
  <c r="D527" i="1" s="1"/>
  <c r="D152" i="19"/>
  <c r="I235" i="1"/>
  <c r="I237" i="1" s="1"/>
  <c r="F155" i="19"/>
  <c r="F218" i="19" s="1"/>
  <c r="D77" i="1"/>
  <c r="H36" i="1"/>
  <c r="W235" i="1"/>
  <c r="W237" i="1"/>
  <c r="B309" i="19"/>
  <c r="B310" i="19" s="1"/>
  <c r="I36" i="1"/>
  <c r="X235" i="1"/>
  <c r="X237" i="1"/>
  <c r="X232" i="1"/>
  <c r="X236" i="1" s="1"/>
  <c r="J36" i="1"/>
  <c r="K36" i="1" s="1"/>
  <c r="L36" i="1" s="1"/>
  <c r="M36" i="1" s="1"/>
  <c r="N36" i="1" s="1"/>
  <c r="O36" i="1" s="1"/>
  <c r="P36" i="1" s="1"/>
  <c r="Y235" i="1"/>
  <c r="Y237" i="1" s="1"/>
  <c r="Y232" i="1"/>
  <c r="Y236" i="1" s="1"/>
  <c r="G535" i="1"/>
  <c r="F535" i="1"/>
  <c r="Z232" i="1"/>
  <c r="Z236" i="1" s="1"/>
  <c r="Z235" i="1"/>
  <c r="Z237" i="1" s="1"/>
  <c r="K16" i="1"/>
  <c r="L16" i="1" s="1"/>
  <c r="M16" i="1" s="1"/>
  <c r="N16" i="1" s="1"/>
  <c r="O16" i="1" s="1"/>
  <c r="Q36" i="1"/>
  <c r="R36" i="1" s="1"/>
  <c r="S36" i="1" s="1"/>
  <c r="T36" i="1" s="1"/>
  <c r="U36" i="1" s="1"/>
  <c r="V36" i="1" s="1"/>
  <c r="W36" i="1" s="1"/>
  <c r="X36" i="1" s="1"/>
  <c r="Y36" i="1" s="1"/>
  <c r="Z36" i="1" s="1"/>
  <c r="H535" i="1"/>
  <c r="P16" i="1"/>
  <c r="Q16" i="1" s="1"/>
  <c r="R16" i="1" s="1"/>
  <c r="S16" i="1" s="1"/>
  <c r="T16" i="1" s="1"/>
  <c r="U16" i="1"/>
  <c r="V16" i="1" s="1"/>
  <c r="W16" i="1" s="1"/>
  <c r="X16" i="1" s="1"/>
  <c r="Y16" i="1" s="1"/>
  <c r="Z16" i="1" s="1"/>
  <c r="K535" i="1"/>
  <c r="L535" i="1"/>
  <c r="M535" i="1"/>
  <c r="O535" i="1"/>
  <c r="Q535" i="1"/>
  <c r="B417" i="19"/>
  <c r="B416" i="19"/>
  <c r="R535" i="1"/>
  <c r="T535" i="1"/>
  <c r="X231" i="1"/>
  <c r="V535" i="1"/>
  <c r="Y230" i="1"/>
  <c r="X535" i="1"/>
  <c r="Y535" i="1"/>
  <c r="Z535" i="1"/>
  <c r="F21" i="1"/>
  <c r="G21" i="1"/>
  <c r="H21" i="1"/>
  <c r="I21" i="1" s="1"/>
  <c r="J21" i="1" s="1"/>
  <c r="K21" i="1"/>
  <c r="L21" i="1" s="1"/>
  <c r="M21" i="1" s="1"/>
  <c r="N21" i="1" s="1"/>
  <c r="O21" i="1" s="1"/>
  <c r="P21" i="1"/>
  <c r="Q21" i="1" s="1"/>
  <c r="R21" i="1" s="1"/>
  <c r="S21" i="1" s="1"/>
  <c r="T21" i="1" s="1"/>
  <c r="U21" i="1" s="1"/>
  <c r="V21" i="1" s="1"/>
  <c r="W21" i="1" s="1"/>
  <c r="X21" i="1" s="1"/>
  <c r="Y21" i="1" s="1"/>
  <c r="Z21" i="1" s="1"/>
  <c r="G11" i="1"/>
  <c r="H11" i="1" s="1"/>
  <c r="I11" i="1" s="1"/>
  <c r="J11" i="1" s="1"/>
  <c r="K11" i="1" s="1"/>
  <c r="C240" i="19"/>
  <c r="C237" i="19"/>
  <c r="C238" i="19"/>
  <c r="C239" i="19"/>
  <c r="E238" i="19"/>
  <c r="E237" i="19"/>
  <c r="E240" i="19"/>
  <c r="G24" i="1"/>
  <c r="F14" i="1"/>
  <c r="F4" i="1"/>
  <c r="F25" i="1"/>
  <c r="G25" i="1"/>
  <c r="H25" i="1" s="1"/>
  <c r="I25" i="1" s="1"/>
  <c r="J25" i="1" s="1"/>
  <c r="K25" i="1" s="1"/>
  <c r="L25" i="1" s="1"/>
  <c r="M25" i="1" s="1"/>
  <c r="N25" i="1" s="1"/>
  <c r="O25" i="1" s="1"/>
  <c r="P25" i="1" s="1"/>
  <c r="Q25" i="1" s="1"/>
  <c r="R25" i="1" s="1"/>
  <c r="S25" i="1" s="1"/>
  <c r="T25" i="1" s="1"/>
  <c r="U25" i="1" s="1"/>
  <c r="V25" i="1" s="1"/>
  <c r="W25" i="1" s="1"/>
  <c r="X25" i="1" s="1"/>
  <c r="Y25" i="1" s="1"/>
  <c r="Z25" i="1" s="1"/>
  <c r="G15" i="1"/>
  <c r="H15" i="1"/>
  <c r="F5" i="1"/>
  <c r="G5" i="1"/>
  <c r="H5" i="1" s="1"/>
  <c r="I5" i="1"/>
  <c r="J5" i="1" s="1"/>
  <c r="K5" i="1" s="1"/>
  <c r="L5" i="1" s="1"/>
  <c r="M5" i="1" s="1"/>
  <c r="N5" i="1" s="1"/>
  <c r="O5" i="1" s="1"/>
  <c r="P5" i="1" s="1"/>
  <c r="Q5" i="1" s="1"/>
  <c r="R5" i="1" s="1"/>
  <c r="S5" i="1" s="1"/>
  <c r="T5" i="1" s="1"/>
  <c r="U5" i="1" s="1"/>
  <c r="V5" i="1" s="1"/>
  <c r="W5" i="1" s="1"/>
  <c r="X5" i="1" s="1"/>
  <c r="Y5" i="1" s="1"/>
  <c r="Z5" i="1" s="1"/>
  <c r="D233" i="1"/>
  <c r="D67" i="1"/>
  <c r="O66" i="1"/>
  <c r="Q67" i="1"/>
  <c r="H66" i="1"/>
  <c r="R67" i="1"/>
  <c r="Y66" i="1"/>
  <c r="O67" i="1"/>
  <c r="V66" i="1"/>
  <c r="L67" i="1"/>
  <c r="P67" i="1"/>
  <c r="T67" i="1"/>
  <c r="H67" i="1"/>
  <c r="E67" i="1"/>
  <c r="L66" i="1"/>
  <c r="V67" i="1"/>
  <c r="M66" i="1"/>
  <c r="S67" i="1"/>
  <c r="Z66" i="1"/>
  <c r="S66" i="1"/>
  <c r="X67" i="1"/>
  <c r="Y67" i="1"/>
  <c r="P66" i="1"/>
  <c r="Z67" i="1"/>
  <c r="J67" i="1"/>
  <c r="W67" i="1"/>
  <c r="G67" i="1"/>
  <c r="N66" i="1"/>
  <c r="K66" i="1"/>
  <c r="M67" i="1"/>
  <c r="D66" i="1"/>
  <c r="N67" i="1"/>
  <c r="U66" i="1"/>
  <c r="K67" i="1"/>
  <c r="R66" i="1"/>
  <c r="F56" i="19"/>
  <c r="G51" i="1"/>
  <c r="H51" i="1" s="1"/>
  <c r="I51" i="1" s="1"/>
  <c r="J51" i="1" s="1"/>
  <c r="K51" i="1" s="1"/>
  <c r="L51" i="1" s="1"/>
  <c r="F13" i="1"/>
  <c r="G13" i="1" s="1"/>
  <c r="H13" i="1" s="1"/>
  <c r="I13" i="1"/>
  <c r="J13" i="1" s="1"/>
  <c r="K13" i="1" s="1"/>
  <c r="L13" i="1" s="1"/>
  <c r="M13" i="1" s="1"/>
  <c r="N13" i="1" s="1"/>
  <c r="O13" i="1" s="1"/>
  <c r="P13" i="1" s="1"/>
  <c r="Q13" i="1" s="1"/>
  <c r="R13" i="1" s="1"/>
  <c r="S13" i="1" s="1"/>
  <c r="T13" i="1" s="1"/>
  <c r="U13" i="1" s="1"/>
  <c r="V13" i="1" s="1"/>
  <c r="W13" i="1" s="1"/>
  <c r="X13" i="1" s="1"/>
  <c r="Y13" i="1" s="1"/>
  <c r="Z13" i="1" s="1"/>
  <c r="F10" i="1"/>
  <c r="G10" i="1" s="1"/>
  <c r="H10" i="1"/>
  <c r="I10" i="1" s="1"/>
  <c r="J10" i="1"/>
  <c r="K10" i="1" s="1"/>
  <c r="L10" i="1" s="1"/>
  <c r="M10" i="1" s="1"/>
  <c r="N10" i="1" s="1"/>
  <c r="G7" i="1"/>
  <c r="H7" i="1"/>
  <c r="I7" i="1" s="1"/>
  <c r="J7" i="1" s="1"/>
  <c r="K7" i="1"/>
  <c r="L7" i="1" s="1"/>
  <c r="M7" i="1" s="1"/>
  <c r="N7" i="1" s="1"/>
  <c r="O7" i="1" s="1"/>
  <c r="P7" i="1" s="1"/>
  <c r="Q7" i="1" s="1"/>
  <c r="E70" i="1"/>
  <c r="B215" i="19"/>
  <c r="D71" i="1"/>
  <c r="D70" i="1"/>
  <c r="D72" i="1"/>
  <c r="E71" i="1"/>
  <c r="G238" i="19"/>
  <c r="G239" i="19"/>
  <c r="G237" i="19"/>
  <c r="G240" i="19"/>
  <c r="F30" i="1"/>
  <c r="G30" i="1" s="1"/>
  <c r="H30" i="1"/>
  <c r="I30" i="1" s="1"/>
  <c r="J30" i="1" s="1"/>
  <c r="K30" i="1" s="1"/>
  <c r="L30" i="1" s="1"/>
  <c r="M30" i="1" s="1"/>
  <c r="N30" i="1"/>
  <c r="O30" i="1" s="1"/>
  <c r="P30" i="1" s="1"/>
  <c r="Q30" i="1" s="1"/>
  <c r="R30" i="1" s="1"/>
  <c r="S30" i="1" s="1"/>
  <c r="T30" i="1" s="1"/>
  <c r="U30" i="1" s="1"/>
  <c r="V30" i="1" s="1"/>
  <c r="W30" i="1" s="1"/>
  <c r="X30" i="1" s="1"/>
  <c r="Y30" i="1" s="1"/>
  <c r="Z30" i="1" s="1"/>
  <c r="F50" i="1"/>
  <c r="F45" i="1"/>
  <c r="G45" i="1" s="1"/>
  <c r="H45" i="1"/>
  <c r="I45" i="1" s="1"/>
  <c r="J45" i="1"/>
  <c r="K45" i="1" s="1"/>
  <c r="L45" i="1" s="1"/>
  <c r="M45" i="1" s="1"/>
  <c r="N45" i="1" s="1"/>
  <c r="O45" i="1" s="1"/>
  <c r="P45" i="1"/>
  <c r="Q45" i="1" s="1"/>
  <c r="R45" i="1" s="1"/>
  <c r="S45" i="1" s="1"/>
  <c r="T45" i="1" s="1"/>
  <c r="U45" i="1" s="1"/>
  <c r="V45" i="1" s="1"/>
  <c r="W45" i="1" s="1"/>
  <c r="X45" i="1" s="1"/>
  <c r="Y45" i="1" s="1"/>
  <c r="Z45" i="1"/>
  <c r="F17" i="1"/>
  <c r="G17" i="1"/>
  <c r="H17" i="1"/>
  <c r="I17" i="1" s="1"/>
  <c r="J17" i="1" s="1"/>
  <c r="K17" i="1" s="1"/>
  <c r="L17" i="1" s="1"/>
  <c r="M17" i="1"/>
  <c r="N17" i="1" s="1"/>
  <c r="O17" i="1" s="1"/>
  <c r="P17" i="1" s="1"/>
  <c r="Q17" i="1" s="1"/>
  <c r="R17" i="1" s="1"/>
  <c r="S17" i="1" s="1"/>
  <c r="T17" i="1" s="1"/>
  <c r="U17" i="1" s="1"/>
  <c r="V17" i="1" s="1"/>
  <c r="W17" i="1" s="1"/>
  <c r="X17" i="1" s="1"/>
  <c r="Y17" i="1" s="1"/>
  <c r="Z17" i="1" s="1"/>
  <c r="F8" i="1"/>
  <c r="G8" i="1" s="1"/>
  <c r="H8" i="1"/>
  <c r="I8" i="1" s="1"/>
  <c r="J8" i="1"/>
  <c r="D232" i="1"/>
  <c r="D237" i="1"/>
  <c r="D230" i="1"/>
  <c r="AB230" i="1" s="1"/>
  <c r="I15" i="1"/>
  <c r="J15" i="1" s="1"/>
  <c r="G14" i="1"/>
  <c r="F9" i="1"/>
  <c r="G9" i="1" s="1"/>
  <c r="H9" i="1"/>
  <c r="I9" i="1" s="1"/>
  <c r="J9" i="1"/>
  <c r="K9" i="1" s="1"/>
  <c r="L9" i="1" s="1"/>
  <c r="M9" i="1" s="1"/>
  <c r="N9" i="1" s="1"/>
  <c r="O9" i="1" s="1"/>
  <c r="P9" i="1" s="1"/>
  <c r="Q9" i="1" s="1"/>
  <c r="R9" i="1" s="1"/>
  <c r="S9" i="1" s="1"/>
  <c r="T9" i="1" s="1"/>
  <c r="U9" i="1" s="1"/>
  <c r="V9" i="1" s="1"/>
  <c r="W9" i="1" s="1"/>
  <c r="X9" i="1" s="1"/>
  <c r="Y9" i="1" s="1"/>
  <c r="Z9" i="1" s="1"/>
  <c r="F238" i="19"/>
  <c r="F239" i="19"/>
  <c r="F240" i="19"/>
  <c r="F237" i="19"/>
  <c r="F29" i="1"/>
  <c r="G29" i="1"/>
  <c r="H29" i="1" s="1"/>
  <c r="I29" i="1" s="1"/>
  <c r="J29" i="1" s="1"/>
  <c r="K29" i="1" s="1"/>
  <c r="L29" i="1" s="1"/>
  <c r="M29" i="1" s="1"/>
  <c r="N29" i="1" s="1"/>
  <c r="O29" i="1" s="1"/>
  <c r="P29" i="1" s="1"/>
  <c r="Q29" i="1" s="1"/>
  <c r="R29" i="1" s="1"/>
  <c r="S29" i="1" s="1"/>
  <c r="T29" i="1" s="1"/>
  <c r="U29" i="1" s="1"/>
  <c r="V29" i="1" s="1"/>
  <c r="W29" i="1" s="1"/>
  <c r="X29" i="1" s="1"/>
  <c r="Y29" i="1" s="1"/>
  <c r="Z29" i="1" s="1"/>
  <c r="G19" i="1"/>
  <c r="E72" i="1"/>
  <c r="F12" i="1"/>
  <c r="E78" i="1"/>
  <c r="F6" i="1"/>
  <c r="F22" i="1"/>
  <c r="F20" i="1"/>
  <c r="D231" i="1"/>
  <c r="AB231" i="1" s="1"/>
  <c r="G50" i="1"/>
  <c r="H50" i="1"/>
  <c r="I50" i="1" s="1"/>
  <c r="J50" i="1" s="1"/>
  <c r="K50" i="1" s="1"/>
  <c r="L50" i="1" s="1"/>
  <c r="M50" i="1" s="1"/>
  <c r="N50" i="1"/>
  <c r="O50" i="1" s="1"/>
  <c r="P50" i="1" s="1"/>
  <c r="Q50" i="1" s="1"/>
  <c r="R50" i="1" s="1"/>
  <c r="S50" i="1" s="1"/>
  <c r="T50" i="1" s="1"/>
  <c r="U50" i="1" s="1"/>
  <c r="V50" i="1" s="1"/>
  <c r="W50" i="1" s="1"/>
  <c r="X50" i="1"/>
  <c r="Y50" i="1" s="1"/>
  <c r="Z50" i="1" s="1"/>
  <c r="AB71" i="1"/>
  <c r="AB70" i="1"/>
  <c r="H19" i="1"/>
  <c r="I19" i="1" s="1"/>
  <c r="J19" i="1" s="1"/>
  <c r="K19" i="1" s="1"/>
  <c r="G22" i="1"/>
  <c r="F95" i="1"/>
  <c r="G6" i="1"/>
  <c r="F94" i="1"/>
  <c r="F78" i="1"/>
  <c r="G12" i="1"/>
  <c r="F72" i="1"/>
  <c r="H14" i="1"/>
  <c r="O10" i="1"/>
  <c r="F71" i="1"/>
  <c r="H12" i="1"/>
  <c r="H6" i="1"/>
  <c r="I6" i="1" s="1"/>
  <c r="I14" i="1"/>
  <c r="H22" i="1"/>
  <c r="K15" i="1"/>
  <c r="L15" i="1" s="1"/>
  <c r="M15" i="1" s="1"/>
  <c r="N15" i="1" s="1"/>
  <c r="I22" i="1"/>
  <c r="J14" i="1"/>
  <c r="K14" i="1" s="1"/>
  <c r="L14" i="1" s="1"/>
  <c r="M14" i="1" s="1"/>
  <c r="N14" i="1" s="1"/>
  <c r="O14" i="1" s="1"/>
  <c r="I105" i="1"/>
  <c r="I12" i="1"/>
  <c r="L11" i="1"/>
  <c r="J6" i="1"/>
  <c r="K6" i="1" s="1"/>
  <c r="L6" i="1" s="1"/>
  <c r="M6" i="1" s="1"/>
  <c r="N6" i="1" s="1"/>
  <c r="O6" i="1" s="1"/>
  <c r="J12" i="1"/>
  <c r="J22" i="1"/>
  <c r="J105" i="1"/>
  <c r="M11" i="1"/>
  <c r="N11" i="1" s="1"/>
  <c r="O11" i="1" s="1"/>
  <c r="P11" i="1" s="1"/>
  <c r="Q11" i="1" s="1"/>
  <c r="L19" i="1"/>
  <c r="K22" i="1"/>
  <c r="K12" i="1"/>
  <c r="M51" i="1"/>
  <c r="N51" i="1" s="1"/>
  <c r="O51" i="1" s="1"/>
  <c r="P51" i="1" s="1"/>
  <c r="Q51" i="1" s="1"/>
  <c r="R51" i="1" s="1"/>
  <c r="S51" i="1" s="1"/>
  <c r="T51" i="1" s="1"/>
  <c r="L114" i="1"/>
  <c r="O15" i="1"/>
  <c r="P15" i="1" s="1"/>
  <c r="Q15" i="1" s="1"/>
  <c r="L22" i="1"/>
  <c r="L12" i="1"/>
  <c r="M19" i="1"/>
  <c r="M22" i="1"/>
  <c r="N22" i="1" s="1"/>
  <c r="O22" i="1" s="1"/>
  <c r="P22" i="1" s="1"/>
  <c r="Q22" i="1" s="1"/>
  <c r="R22" i="1" s="1"/>
  <c r="S22" i="1" s="1"/>
  <c r="T22" i="1" s="1"/>
  <c r="U22" i="1" s="1"/>
  <c r="V22" i="1" s="1"/>
  <c r="W22" i="1" s="1"/>
  <c r="X22" i="1" s="1"/>
  <c r="Y22" i="1" s="1"/>
  <c r="N19" i="1"/>
  <c r="O19" i="1" s="1"/>
  <c r="P19" i="1" s="1"/>
  <c r="Q19" i="1" s="1"/>
  <c r="R19" i="1" s="1"/>
  <c r="S19" i="1" s="1"/>
  <c r="T19" i="1" s="1"/>
  <c r="U19" i="1" s="1"/>
  <c r="V19" i="1" s="1"/>
  <c r="W19" i="1" s="1"/>
  <c r="X19" i="1" s="1"/>
  <c r="Y19" i="1" s="1"/>
  <c r="Z19" i="1" s="1"/>
  <c r="N96" i="1"/>
  <c r="P14" i="1"/>
  <c r="Q14" i="1"/>
  <c r="P6" i="1"/>
  <c r="O103" i="1"/>
  <c r="R14" i="1"/>
  <c r="Q6" i="1"/>
  <c r="R6" i="1" s="1"/>
  <c r="S14" i="1"/>
  <c r="T14" i="1" s="1"/>
  <c r="U14" i="1" s="1"/>
  <c r="V14" i="1" s="1"/>
  <c r="W14" i="1" s="1"/>
  <c r="R103" i="1"/>
  <c r="S6" i="1"/>
  <c r="U51" i="1"/>
  <c r="V51" i="1" s="1"/>
  <c r="T6" i="1"/>
  <c r="U6" i="1" s="1"/>
  <c r="V6" i="1" s="1"/>
  <c r="W51" i="1"/>
  <c r="X51" i="1" s="1"/>
  <c r="Y51" i="1" s="1"/>
  <c r="Z51" i="1" s="1"/>
  <c r="X14" i="1"/>
  <c r="Y14" i="1" s="1"/>
  <c r="Z14" i="1" s="1"/>
  <c r="W6" i="1"/>
  <c r="Z22" i="1"/>
  <c r="X6" i="1" l="1"/>
  <c r="R7" i="1"/>
  <c r="Q112" i="1"/>
  <c r="G107" i="1"/>
  <c r="G147" i="1" s="1"/>
  <c r="G191" i="1"/>
  <c r="G108" i="1"/>
  <c r="G148" i="1" s="1"/>
  <c r="G152" i="1" s="1"/>
  <c r="G192" i="1"/>
  <c r="G106" i="1"/>
  <c r="G146" i="1" s="1"/>
  <c r="G190" i="1"/>
  <c r="L112" i="1"/>
  <c r="E156" i="1"/>
  <c r="D155" i="1"/>
  <c r="D154" i="1"/>
  <c r="D156" i="1"/>
  <c r="F154" i="1"/>
  <c r="F156" i="1"/>
  <c r="H156" i="1"/>
  <c r="E155" i="1"/>
  <c r="F155" i="1"/>
  <c r="G156" i="1"/>
  <c r="E154" i="1"/>
  <c r="F113" i="1"/>
  <c r="F114" i="1"/>
  <c r="F112" i="1"/>
  <c r="G113" i="1"/>
  <c r="G114" i="1"/>
  <c r="G112" i="1"/>
  <c r="L113" i="1"/>
  <c r="M113" i="1"/>
  <c r="M114" i="1"/>
  <c r="M112" i="1"/>
  <c r="G215" i="19"/>
  <c r="D86" i="1"/>
  <c r="AB86" i="1" s="1"/>
  <c r="F85" i="1"/>
  <c r="D87" i="1"/>
  <c r="AB87" i="1" s="1"/>
  <c r="G354" i="19" s="1"/>
  <c r="F121" i="1"/>
  <c r="E85" i="1"/>
  <c r="E86" i="1"/>
  <c r="F87" i="1"/>
  <c r="H87" i="1"/>
  <c r="E87" i="1"/>
  <c r="F86" i="1"/>
  <c r="F122" i="1"/>
  <c r="G87" i="1"/>
  <c r="I103" i="1"/>
  <c r="I104" i="1"/>
  <c r="J103" i="1"/>
  <c r="L105" i="1"/>
  <c r="J104" i="1"/>
  <c r="L103" i="1"/>
  <c r="K123" i="1"/>
  <c r="P123" i="1"/>
  <c r="D85" i="1"/>
  <c r="H123" i="1"/>
  <c r="Q122" i="1"/>
  <c r="Q103" i="1"/>
  <c r="Q139" i="1" s="1"/>
  <c r="K121" i="1"/>
  <c r="P122" i="1"/>
  <c r="O105" i="1"/>
  <c r="P121" i="1"/>
  <c r="Q123" i="1"/>
  <c r="W103" i="1"/>
  <c r="D103" i="1"/>
  <c r="H121" i="1"/>
  <c r="Q121" i="1"/>
  <c r="T103" i="1"/>
  <c r="O60" i="1"/>
  <c r="Y61" i="1"/>
  <c r="I61" i="1"/>
  <c r="P60" i="1"/>
  <c r="Z61" i="1"/>
  <c r="J61" i="1"/>
  <c r="Q60" i="1"/>
  <c r="W61" i="1"/>
  <c r="G61" i="1"/>
  <c r="N60" i="1"/>
  <c r="F60" i="1"/>
  <c r="X61" i="1"/>
  <c r="S60" i="1"/>
  <c r="K60" i="1"/>
  <c r="Q61" i="1"/>
  <c r="X60" i="1"/>
  <c r="H60" i="1"/>
  <c r="R61" i="1"/>
  <c r="Y60" i="1"/>
  <c r="I60" i="1"/>
  <c r="O61" i="1"/>
  <c r="V60" i="1"/>
  <c r="M61" i="1"/>
  <c r="D60" i="1"/>
  <c r="U60" i="1"/>
  <c r="K61" i="1"/>
  <c r="H61" i="1"/>
  <c r="T60" i="1"/>
  <c r="N61" i="1"/>
  <c r="E60" i="1"/>
  <c r="R60" i="1"/>
  <c r="C56" i="19"/>
  <c r="L61" i="1"/>
  <c r="W60" i="1"/>
  <c r="T61" i="1"/>
  <c r="L60" i="1"/>
  <c r="S61" i="1"/>
  <c r="G60" i="1"/>
  <c r="U61" i="1"/>
  <c r="F61" i="1"/>
  <c r="J60" i="1"/>
  <c r="V61" i="1"/>
  <c r="D61" i="1"/>
  <c r="Z60" i="1"/>
  <c r="E61" i="1"/>
  <c r="P94" i="1"/>
  <c r="P61" i="1"/>
  <c r="M60" i="1"/>
  <c r="Q113" i="1"/>
  <c r="R11" i="1"/>
  <c r="R122" i="1" s="1"/>
  <c r="P10" i="1"/>
  <c r="O95" i="1"/>
  <c r="K8" i="1"/>
  <c r="H96" i="1"/>
  <c r="H95" i="1"/>
  <c r="H94" i="1"/>
  <c r="I94" i="1"/>
  <c r="I95" i="1"/>
  <c r="I96" i="1"/>
  <c r="N95" i="1"/>
  <c r="N94" i="1"/>
  <c r="B56" i="19"/>
  <c r="S58" i="1"/>
  <c r="L59" i="1"/>
  <c r="F58" i="1"/>
  <c r="V58" i="1"/>
  <c r="O59" i="1"/>
  <c r="I58" i="1"/>
  <c r="Y58" i="1"/>
  <c r="W58" i="1"/>
  <c r="T59" i="1"/>
  <c r="R58" i="1"/>
  <c r="S59" i="1"/>
  <c r="Q58" i="1"/>
  <c r="N59" i="1"/>
  <c r="D58" i="1"/>
  <c r="T58" i="1"/>
  <c r="M59" i="1"/>
  <c r="K58" i="1"/>
  <c r="H59" i="1"/>
  <c r="J58" i="1"/>
  <c r="G59" i="1"/>
  <c r="E58" i="1"/>
  <c r="F59" i="1"/>
  <c r="V59" i="1"/>
  <c r="L58" i="1"/>
  <c r="E59" i="1"/>
  <c r="U59" i="1"/>
  <c r="O58" i="1"/>
  <c r="N58" i="1"/>
  <c r="M58" i="1"/>
  <c r="Z59" i="1"/>
  <c r="I59" i="1"/>
  <c r="P59" i="1"/>
  <c r="K59" i="1"/>
  <c r="J59" i="1"/>
  <c r="P58" i="1"/>
  <c r="Y59" i="1"/>
  <c r="D59" i="1"/>
  <c r="U58" i="1"/>
  <c r="Q59" i="1"/>
  <c r="Z58" i="1"/>
  <c r="H58" i="1"/>
  <c r="X59" i="1"/>
  <c r="R59" i="1"/>
  <c r="W59" i="1"/>
  <c r="X58" i="1"/>
  <c r="Q38" i="1"/>
  <c r="R38" i="1" s="1"/>
  <c r="S38" i="1" s="1"/>
  <c r="T38" i="1" s="1"/>
  <c r="U38" i="1" s="1"/>
  <c r="V38" i="1" s="1"/>
  <c r="W38" i="1" s="1"/>
  <c r="X38" i="1" s="1"/>
  <c r="Y38" i="1" s="1"/>
  <c r="Z38" i="1" s="1"/>
  <c r="Z105" i="1" s="1"/>
  <c r="P96" i="1"/>
  <c r="Z96" i="1"/>
  <c r="U94" i="1"/>
  <c r="O104" i="1"/>
  <c r="L104" i="1"/>
  <c r="R15" i="1"/>
  <c r="Q114" i="1"/>
  <c r="O94" i="1"/>
  <c r="F123" i="1"/>
  <c r="F215" i="19"/>
  <c r="O96" i="1"/>
  <c r="G20" i="1"/>
  <c r="F77" i="1"/>
  <c r="F70" i="1"/>
  <c r="G4" i="1"/>
  <c r="F76" i="1"/>
  <c r="M12" i="1"/>
  <c r="H24" i="1"/>
  <c r="G78" i="1"/>
  <c r="G72" i="1"/>
  <c r="N122" i="1"/>
  <c r="N205" i="1"/>
  <c r="N206" i="1"/>
  <c r="N123" i="1"/>
  <c r="N121" i="1"/>
  <c r="D105" i="1"/>
  <c r="D187" i="1"/>
  <c r="D188" i="1"/>
  <c r="D104" i="1"/>
  <c r="H122" i="1"/>
  <c r="H206" i="1"/>
  <c r="H205" i="1"/>
  <c r="D236" i="1"/>
  <c r="F237" i="1"/>
  <c r="K122" i="1"/>
  <c r="K205" i="1"/>
  <c r="I123" i="1"/>
  <c r="I141" i="1" s="1"/>
  <c r="I205" i="1"/>
  <c r="I121" i="1"/>
  <c r="I206" i="1"/>
  <c r="I122" i="1"/>
  <c r="I207" i="1"/>
  <c r="F130" i="1"/>
  <c r="F131" i="1"/>
  <c r="AB72" i="1"/>
  <c r="B354" i="19" s="1"/>
  <c r="D215" i="19"/>
  <c r="G196" i="1" s="1"/>
  <c r="D78" i="1"/>
  <c r="AB78" i="1" s="1"/>
  <c r="D354" i="19" s="1"/>
  <c r="E77" i="1"/>
  <c r="AB77" i="1" s="1"/>
  <c r="D76" i="1"/>
  <c r="E76" i="1"/>
  <c r="AB234" i="1"/>
  <c r="E68" i="1"/>
  <c r="U68" i="1"/>
  <c r="N69" i="1"/>
  <c r="D68" i="1"/>
  <c r="T68" i="1"/>
  <c r="M69" i="1"/>
  <c r="G68" i="1"/>
  <c r="W68" i="1"/>
  <c r="P69" i="1"/>
  <c r="K69" i="1"/>
  <c r="J68" i="1"/>
  <c r="V68" i="1"/>
  <c r="M68" i="1"/>
  <c r="F69" i="1"/>
  <c r="V69" i="1"/>
  <c r="L68" i="1"/>
  <c r="E69" i="1"/>
  <c r="U69" i="1"/>
  <c r="O68" i="1"/>
  <c r="H69" i="1"/>
  <c r="X69" i="1"/>
  <c r="G69" i="1"/>
  <c r="S69" i="1"/>
  <c r="G56" i="19"/>
  <c r="W66" i="1"/>
  <c r="X66" i="1"/>
  <c r="I66" i="1"/>
  <c r="F66" i="1"/>
  <c r="U67" i="1"/>
  <c r="F67" i="1"/>
  <c r="J66" i="1"/>
  <c r="I67" i="1"/>
  <c r="Q66" i="1"/>
  <c r="G66" i="1"/>
  <c r="T66" i="1"/>
  <c r="E66" i="1"/>
  <c r="F96" i="1"/>
  <c r="E62" i="1"/>
  <c r="Y62" i="1"/>
  <c r="R63" i="1"/>
  <c r="H62" i="1"/>
  <c r="X62" i="1"/>
  <c r="Q63" i="1"/>
  <c r="K62" i="1"/>
  <c r="D63" i="1"/>
  <c r="T63" i="1"/>
  <c r="N62" i="1"/>
  <c r="G63" i="1"/>
  <c r="W63" i="1"/>
  <c r="I233" i="1"/>
  <c r="G235" i="1"/>
  <c r="G237" i="1" s="1"/>
  <c r="G231" i="1"/>
  <c r="E232" i="1"/>
  <c r="E236" i="1" s="1"/>
  <c r="F230" i="1"/>
  <c r="AC230" i="1" s="1"/>
  <c r="F231" i="1"/>
  <c r="A535" i="1"/>
  <c r="K63" i="1"/>
  <c r="J62" i="1"/>
  <c r="L63" i="1"/>
  <c r="O62" i="1"/>
  <c r="M63" i="1"/>
  <c r="P62" i="1"/>
  <c r="V63" i="1"/>
  <c r="U62" i="1"/>
  <c r="D238" i="19"/>
  <c r="D56" i="19"/>
  <c r="D535" i="1"/>
  <c r="E239" i="19"/>
  <c r="E55" i="19"/>
  <c r="W535" i="1"/>
  <c r="U535" i="1"/>
  <c r="S535" i="1"/>
  <c r="U234" i="1"/>
  <c r="P535" i="1"/>
  <c r="O400" i="19" s="1"/>
  <c r="N535" i="1"/>
  <c r="J535" i="1"/>
  <c r="I535" i="1"/>
  <c r="E535" i="1"/>
  <c r="W232" i="1"/>
  <c r="W236" i="1" s="1"/>
  <c r="Z231" i="1"/>
  <c r="X233" i="1"/>
  <c r="W234" i="1"/>
  <c r="V232" i="1"/>
  <c r="V236" i="1" s="1"/>
  <c r="V234" i="1"/>
  <c r="U232" i="1"/>
  <c r="U236" i="1" s="1"/>
  <c r="U231" i="1"/>
  <c r="S232" i="1"/>
  <c r="S236" i="1" s="1"/>
  <c r="T230" i="1"/>
  <c r="R232" i="1"/>
  <c r="R236" i="1" s="1"/>
  <c r="S233" i="1"/>
  <c r="Q235" i="1"/>
  <c r="Q237" i="1" s="1"/>
  <c r="R233" i="1"/>
  <c r="P235" i="1"/>
  <c r="P237" i="1" s="1"/>
  <c r="Q234" i="1"/>
  <c r="O232" i="1"/>
  <c r="O236" i="1" s="1"/>
  <c r="P230" i="1"/>
  <c r="AD230" i="1" s="1"/>
  <c r="O231" i="1"/>
  <c r="N235" i="1"/>
  <c r="N237" i="1" s="1"/>
  <c r="M235" i="1"/>
  <c r="M237" i="1" s="1"/>
  <c r="N231" i="1"/>
  <c r="AD231" i="1" s="1"/>
  <c r="L235" i="1"/>
  <c r="M233" i="1"/>
  <c r="K232" i="1"/>
  <c r="L233" i="1"/>
  <c r="AD233" i="1" s="1"/>
  <c r="K234" i="1"/>
  <c r="J233" i="1"/>
  <c r="I231" i="1"/>
  <c r="G232" i="1"/>
  <c r="G236" i="1" s="1"/>
  <c r="H230" i="1"/>
  <c r="H234" i="1"/>
  <c r="AC234" i="1" s="1"/>
  <c r="E234" i="1"/>
  <c r="E235" i="1"/>
  <c r="G233" i="1"/>
  <c r="AC233" i="1" s="1"/>
  <c r="F232" i="1"/>
  <c r="E233" i="1"/>
  <c r="AB233" i="1" s="1"/>
  <c r="S63" i="1"/>
  <c r="V62" i="1"/>
  <c r="X63" i="1"/>
  <c r="W62" i="1"/>
  <c r="Y63" i="1"/>
  <c r="E63" i="1"/>
  <c r="D62" i="1"/>
  <c r="J63" i="1"/>
  <c r="I62" i="1"/>
  <c r="C152" i="19"/>
  <c r="F153" i="19"/>
  <c r="E152" i="19"/>
  <c r="C153" i="19"/>
  <c r="C216" i="19" s="1"/>
  <c r="E411" i="19" l="1"/>
  <c r="B412" i="19"/>
  <c r="B411" i="19"/>
  <c r="D411" i="19"/>
  <c r="C411" i="19"/>
  <c r="P400" i="19"/>
  <c r="O402" i="19"/>
  <c r="P402" i="19" s="1"/>
  <c r="F216" i="19"/>
  <c r="E203" i="1" s="1"/>
  <c r="F83" i="1"/>
  <c r="F84" i="1"/>
  <c r="H101" i="1"/>
  <c r="N101" i="1"/>
  <c r="N137" i="1" s="1"/>
  <c r="M102" i="1"/>
  <c r="O101" i="1"/>
  <c r="O137" i="1" s="1"/>
  <c r="Q100" i="1"/>
  <c r="T102" i="1"/>
  <c r="V102" i="1"/>
  <c r="W102" i="1"/>
  <c r="X102" i="1"/>
  <c r="Z102" i="1"/>
  <c r="X96" i="1"/>
  <c r="X94" i="1"/>
  <c r="X180" i="1"/>
  <c r="X178" i="1"/>
  <c r="P197" i="1"/>
  <c r="P113" i="1"/>
  <c r="P114" i="1"/>
  <c r="P112" i="1"/>
  <c r="P198" i="1"/>
  <c r="P196" i="1"/>
  <c r="J197" i="1"/>
  <c r="J114" i="1"/>
  <c r="J198" i="1"/>
  <c r="J196" i="1"/>
  <c r="J112" i="1"/>
  <c r="J113" i="1"/>
  <c r="I198" i="1"/>
  <c r="I197" i="1"/>
  <c r="I114" i="1"/>
  <c r="I196" i="1"/>
  <c r="I113" i="1"/>
  <c r="I112" i="1"/>
  <c r="Y96" i="1"/>
  <c r="Y180" i="1"/>
  <c r="S96" i="1"/>
  <c r="S178" i="1"/>
  <c r="S180" i="1"/>
  <c r="S94" i="1"/>
  <c r="AB235" i="1"/>
  <c r="AB237" i="1" s="1"/>
  <c r="E237" i="1"/>
  <c r="O198" i="1"/>
  <c r="O197" i="1"/>
  <c r="O114" i="1"/>
  <c r="O113" i="1"/>
  <c r="O112" i="1"/>
  <c r="O196" i="1"/>
  <c r="G180" i="1"/>
  <c r="G96" i="1"/>
  <c r="G132" i="1" s="1"/>
  <c r="G246" i="1" s="1"/>
  <c r="G178" i="1"/>
  <c r="G94" i="1"/>
  <c r="G95" i="1"/>
  <c r="G179" i="1"/>
  <c r="K197" i="1"/>
  <c r="K198" i="1"/>
  <c r="K113" i="1"/>
  <c r="K196" i="1"/>
  <c r="K112" i="1"/>
  <c r="K114" i="1"/>
  <c r="R180" i="1"/>
  <c r="R96" i="1"/>
  <c r="R132" i="1" s="1"/>
  <c r="R94" i="1"/>
  <c r="R178" i="1"/>
  <c r="E120" i="1"/>
  <c r="E202" i="1"/>
  <c r="E118" i="1"/>
  <c r="E204" i="1"/>
  <c r="E119" i="1"/>
  <c r="I102" i="1"/>
  <c r="I186" i="1"/>
  <c r="I101" i="1"/>
  <c r="I100" i="1"/>
  <c r="I185" i="1"/>
  <c r="F120" i="1"/>
  <c r="F119" i="1"/>
  <c r="F202" i="1"/>
  <c r="F118" i="1"/>
  <c r="H104" i="1"/>
  <c r="H140" i="1" s="1"/>
  <c r="H103" i="1"/>
  <c r="H139" i="1" s="1"/>
  <c r="H188" i="1"/>
  <c r="H105" i="1"/>
  <c r="H141" i="1" s="1"/>
  <c r="H189" i="1"/>
  <c r="H187" i="1"/>
  <c r="L206" i="1"/>
  <c r="L122" i="1"/>
  <c r="L140" i="1" s="1"/>
  <c r="L207" i="1"/>
  <c r="L123" i="1"/>
  <c r="L141" i="1" s="1"/>
  <c r="L205" i="1"/>
  <c r="L121" i="1"/>
  <c r="D123" i="1"/>
  <c r="D122" i="1"/>
  <c r="D121" i="1"/>
  <c r="D207" i="1"/>
  <c r="AB207" i="1" s="1"/>
  <c r="D206" i="1"/>
  <c r="D205" i="1"/>
  <c r="AB205" i="1" s="1"/>
  <c r="H4" i="1"/>
  <c r="G70" i="1"/>
  <c r="G76" i="1"/>
  <c r="O132" i="1"/>
  <c r="V100" i="1"/>
  <c r="K100" i="1"/>
  <c r="S102" i="1"/>
  <c r="M119" i="1"/>
  <c r="N102" i="1"/>
  <c r="N119" i="1"/>
  <c r="H102" i="1"/>
  <c r="H138" i="1" s="1"/>
  <c r="N100" i="1"/>
  <c r="L118" i="1"/>
  <c r="M100" i="1"/>
  <c r="K120" i="1"/>
  <c r="D84" i="1"/>
  <c r="G84" i="1"/>
  <c r="D100" i="1"/>
  <c r="D83" i="1"/>
  <c r="D82" i="1"/>
  <c r="O130" i="1"/>
  <c r="R114" i="1"/>
  <c r="S15" i="1"/>
  <c r="S204" i="1" s="1"/>
  <c r="W174" i="1"/>
  <c r="W172" i="1"/>
  <c r="W88" i="1"/>
  <c r="W90" i="1"/>
  <c r="Y90" i="1"/>
  <c r="Y174" i="1"/>
  <c r="P174" i="1"/>
  <c r="P89" i="1"/>
  <c r="P173" i="1"/>
  <c r="P172" i="1"/>
  <c r="P90" i="1"/>
  <c r="P88" i="1"/>
  <c r="N108" i="1"/>
  <c r="N148" i="1" s="1"/>
  <c r="N152" i="1" s="1"/>
  <c r="N107" i="1"/>
  <c r="N147" i="1" s="1"/>
  <c r="N191" i="1"/>
  <c r="N106" i="1"/>
  <c r="N146" i="1" s="1"/>
  <c r="N190" i="1"/>
  <c r="N192" i="1"/>
  <c r="L107" i="1"/>
  <c r="L147" i="1" s="1"/>
  <c r="L191" i="1"/>
  <c r="L106" i="1"/>
  <c r="L146" i="1" s="1"/>
  <c r="L108" i="1"/>
  <c r="L148" i="1" s="1"/>
  <c r="L152" i="1" s="1"/>
  <c r="L192" i="1"/>
  <c r="L190" i="1"/>
  <c r="G88" i="1"/>
  <c r="G173" i="1"/>
  <c r="G89" i="1"/>
  <c r="G174" i="1"/>
  <c r="G90" i="1"/>
  <c r="G172" i="1"/>
  <c r="M90" i="1"/>
  <c r="M172" i="1"/>
  <c r="M174" i="1"/>
  <c r="M173" i="1"/>
  <c r="M89" i="1"/>
  <c r="M88" i="1"/>
  <c r="Q107" i="1"/>
  <c r="Q147" i="1" s="1"/>
  <c r="Q191" i="1"/>
  <c r="Q190" i="1"/>
  <c r="Q192" i="1"/>
  <c r="Q108" i="1"/>
  <c r="Q148" i="1" s="1"/>
  <c r="Q152" i="1" s="1"/>
  <c r="Q106" i="1"/>
  <c r="Q146" i="1" s="1"/>
  <c r="N180" i="1"/>
  <c r="I130" i="1"/>
  <c r="Q10" i="1"/>
  <c r="Q179" i="1" s="1"/>
  <c r="P95" i="1"/>
  <c r="U96" i="1"/>
  <c r="V91" i="1"/>
  <c r="V93" i="1"/>
  <c r="G110" i="1"/>
  <c r="G111" i="1"/>
  <c r="G109" i="1"/>
  <c r="E110" i="1"/>
  <c r="E109" i="1"/>
  <c r="E111" i="1"/>
  <c r="K93" i="1"/>
  <c r="K91" i="1"/>
  <c r="K92" i="1"/>
  <c r="R93" i="1"/>
  <c r="R91" i="1"/>
  <c r="K110" i="1"/>
  <c r="K109" i="1"/>
  <c r="K111" i="1"/>
  <c r="N110" i="1"/>
  <c r="N111" i="1"/>
  <c r="N109" i="1"/>
  <c r="J91" i="1"/>
  <c r="J93" i="1"/>
  <c r="J129" i="1" s="1"/>
  <c r="J92" i="1"/>
  <c r="Y93" i="1"/>
  <c r="Q105" i="1"/>
  <c r="Q141" i="1" s="1"/>
  <c r="D139" i="1"/>
  <c r="M196" i="1"/>
  <c r="L196" i="1"/>
  <c r="G198" i="1"/>
  <c r="F196" i="1"/>
  <c r="AC196" i="1" s="1"/>
  <c r="F197" i="1"/>
  <c r="G154" i="1"/>
  <c r="G208" i="1" s="1"/>
  <c r="G226" i="1" s="1"/>
  <c r="AB155" i="1"/>
  <c r="S7" i="1"/>
  <c r="R112" i="1"/>
  <c r="R121" i="1"/>
  <c r="R139" i="1" s="1"/>
  <c r="F79" i="1"/>
  <c r="E215" i="19"/>
  <c r="D81" i="1"/>
  <c r="AB81" i="1" s="1"/>
  <c r="E354" i="19" s="1"/>
  <c r="E80" i="1"/>
  <c r="E81" i="1"/>
  <c r="E79" i="1"/>
  <c r="G79" i="1"/>
  <c r="F80" i="1"/>
  <c r="D80" i="1"/>
  <c r="AB80" i="1" s="1"/>
  <c r="G81" i="1"/>
  <c r="G80" i="1"/>
  <c r="H81" i="1"/>
  <c r="F81" i="1"/>
  <c r="D79" i="1"/>
  <c r="AB79" i="1" s="1"/>
  <c r="J180" i="1"/>
  <c r="J96" i="1"/>
  <c r="J95" i="1"/>
  <c r="J131" i="1" s="1"/>
  <c r="J178" i="1"/>
  <c r="J94" i="1"/>
  <c r="J130" i="1" s="1"/>
  <c r="J179" i="1"/>
  <c r="AD232" i="1"/>
  <c r="AD236" i="1" s="1"/>
  <c r="K236" i="1"/>
  <c r="V178" i="1"/>
  <c r="V94" i="1"/>
  <c r="V96" i="1"/>
  <c r="V180" i="1"/>
  <c r="L180" i="1"/>
  <c r="L95" i="1"/>
  <c r="L131" i="1" s="1"/>
  <c r="L96" i="1"/>
  <c r="L132" i="1" s="1"/>
  <c r="L179" i="1"/>
  <c r="L94" i="1"/>
  <c r="L130" i="1" s="1"/>
  <c r="L178" i="1"/>
  <c r="AC231" i="1"/>
  <c r="N197" i="1"/>
  <c r="N198" i="1"/>
  <c r="N114" i="1"/>
  <c r="N132" i="1" s="1"/>
  <c r="N196" i="1"/>
  <c r="N113" i="1"/>
  <c r="N112" i="1"/>
  <c r="Q96" i="1"/>
  <c r="Q132" i="1" s="1"/>
  <c r="Q95" i="1"/>
  <c r="Q131" i="1" s="1"/>
  <c r="Q180" i="1"/>
  <c r="Q178" i="1"/>
  <c r="Q94" i="1"/>
  <c r="Q130" i="1" s="1"/>
  <c r="J119" i="1"/>
  <c r="J118" i="1"/>
  <c r="J202" i="1"/>
  <c r="J120" i="1"/>
  <c r="I119" i="1"/>
  <c r="I120" i="1"/>
  <c r="I118" i="1"/>
  <c r="I203" i="1"/>
  <c r="S103" i="1"/>
  <c r="S105" i="1"/>
  <c r="S187" i="1"/>
  <c r="S189" i="1"/>
  <c r="O123" i="1"/>
  <c r="O207" i="1"/>
  <c r="O122" i="1"/>
  <c r="O140" i="1" s="1"/>
  <c r="O121" i="1"/>
  <c r="O139" i="1" s="1"/>
  <c r="O206" i="1"/>
  <c r="O205" i="1"/>
  <c r="V103" i="1"/>
  <c r="V189" i="1"/>
  <c r="V105" i="1"/>
  <c r="V187" i="1"/>
  <c r="J122" i="1"/>
  <c r="J207" i="1"/>
  <c r="J123" i="1"/>
  <c r="J141" i="1" s="1"/>
  <c r="J121" i="1"/>
  <c r="J139" i="1" s="1"/>
  <c r="J205" i="1"/>
  <c r="J206" i="1"/>
  <c r="G122" i="1"/>
  <c r="G123" i="1"/>
  <c r="AC123" i="1" s="1"/>
  <c r="G205" i="1"/>
  <c r="G207" i="1"/>
  <c r="G206" i="1"/>
  <c r="G121" i="1"/>
  <c r="AC121" i="1" s="1"/>
  <c r="N105" i="1"/>
  <c r="N141" i="1" s="1"/>
  <c r="N103" i="1"/>
  <c r="N139" i="1" s="1"/>
  <c r="N189" i="1"/>
  <c r="N104" i="1"/>
  <c r="N140" i="1" s="1"/>
  <c r="N188" i="1"/>
  <c r="N187" i="1"/>
  <c r="AB232" i="1"/>
  <c r="AB236" i="1" s="1"/>
  <c r="D141" i="1"/>
  <c r="T100" i="1"/>
  <c r="R120" i="1"/>
  <c r="L102" i="1"/>
  <c r="L138" i="1" s="1"/>
  <c r="S100" i="1"/>
  <c r="Q102" i="1"/>
  <c r="Q138" i="1" s="1"/>
  <c r="P118" i="1"/>
  <c r="N120" i="1"/>
  <c r="K102" i="1"/>
  <c r="D101" i="1"/>
  <c r="N118" i="1"/>
  <c r="L120" i="1"/>
  <c r="G101" i="1"/>
  <c r="P119" i="1"/>
  <c r="K101" i="1"/>
  <c r="G102" i="1"/>
  <c r="H84" i="1"/>
  <c r="E82" i="1"/>
  <c r="E184" i="1"/>
  <c r="D204" i="1"/>
  <c r="AB204" i="1" s="1"/>
  <c r="D167" i="1"/>
  <c r="G167" i="1"/>
  <c r="F167" i="1"/>
  <c r="E166" i="1"/>
  <c r="E220" i="1" s="1"/>
  <c r="H204" i="1"/>
  <c r="F168" i="1"/>
  <c r="H186" i="1"/>
  <c r="D185" i="1"/>
  <c r="H166" i="1"/>
  <c r="L204" i="1"/>
  <c r="D168" i="1"/>
  <c r="K186" i="1"/>
  <c r="L202" i="1"/>
  <c r="O186" i="1"/>
  <c r="E186" i="1"/>
  <c r="O203" i="1"/>
  <c r="P202" i="1"/>
  <c r="H203" i="1"/>
  <c r="P203" i="1"/>
  <c r="P204" i="1"/>
  <c r="O184" i="1"/>
  <c r="Q185" i="1"/>
  <c r="J186" i="1"/>
  <c r="L184" i="1"/>
  <c r="Q186" i="1"/>
  <c r="F166" i="1"/>
  <c r="J185" i="1"/>
  <c r="O185" i="1"/>
  <c r="P184" i="1"/>
  <c r="T186" i="1"/>
  <c r="X186" i="1"/>
  <c r="X184" i="1"/>
  <c r="D203" i="1"/>
  <c r="J184" i="1"/>
  <c r="S202" i="1"/>
  <c r="T184" i="1"/>
  <c r="K184" i="1"/>
  <c r="O202" i="1"/>
  <c r="K185" i="1"/>
  <c r="N186" i="1"/>
  <c r="Q184" i="1"/>
  <c r="W186" i="1"/>
  <c r="V184" i="1"/>
  <c r="L197" i="1"/>
  <c r="P132" i="1"/>
  <c r="R174" i="1"/>
  <c r="R90" i="1"/>
  <c r="R172" i="1"/>
  <c r="R88" i="1"/>
  <c r="Q88" i="1"/>
  <c r="Q172" i="1"/>
  <c r="Q174" i="1"/>
  <c r="Q90" i="1"/>
  <c r="P191" i="1"/>
  <c r="P107" i="1"/>
  <c r="P147" i="1" s="1"/>
  <c r="P108" i="1"/>
  <c r="P148" i="1" s="1"/>
  <c r="P152" i="1" s="1"/>
  <c r="P192" i="1"/>
  <c r="P106" i="1"/>
  <c r="P146" i="1" s="1"/>
  <c r="P190" i="1"/>
  <c r="I90" i="1"/>
  <c r="I88" i="1"/>
  <c r="I174" i="1"/>
  <c r="I172" i="1"/>
  <c r="I173" i="1"/>
  <c r="I89" i="1"/>
  <c r="O107" i="1"/>
  <c r="O147" i="1" s="1"/>
  <c r="O191" i="1"/>
  <c r="O192" i="1"/>
  <c r="O106" i="1"/>
  <c r="O146" i="1" s="1"/>
  <c r="O190" i="1"/>
  <c r="O108" i="1"/>
  <c r="O148" i="1" s="1"/>
  <c r="O152" i="1" s="1"/>
  <c r="V174" i="1"/>
  <c r="V172" i="1"/>
  <c r="V88" i="1"/>
  <c r="V90" i="1"/>
  <c r="J108" i="1"/>
  <c r="J148" i="1" s="1"/>
  <c r="J152" i="1" s="1"/>
  <c r="J190" i="1"/>
  <c r="J191" i="1"/>
  <c r="J106" i="1"/>
  <c r="J146" i="1" s="1"/>
  <c r="J107" i="1"/>
  <c r="J147" i="1" s="1"/>
  <c r="J192" i="1"/>
  <c r="S174" i="1"/>
  <c r="S90" i="1"/>
  <c r="S88" i="1"/>
  <c r="S172" i="1"/>
  <c r="F107" i="1"/>
  <c r="F108" i="1"/>
  <c r="F190" i="1"/>
  <c r="F191" i="1"/>
  <c r="F192" i="1"/>
  <c r="F106" i="1"/>
  <c r="N130" i="1"/>
  <c r="I132" i="1"/>
  <c r="I180" i="1"/>
  <c r="H179" i="1"/>
  <c r="M110" i="1"/>
  <c r="M111" i="1"/>
  <c r="M109" i="1"/>
  <c r="P130" i="1"/>
  <c r="E93" i="1"/>
  <c r="E91" i="1"/>
  <c r="E127" i="1" s="1"/>
  <c r="E92" i="1"/>
  <c r="E128" i="1" s="1"/>
  <c r="J109" i="1"/>
  <c r="J111" i="1"/>
  <c r="J110" i="1"/>
  <c r="S91" i="1"/>
  <c r="S127" i="1" s="1"/>
  <c r="S93" i="1"/>
  <c r="L93" i="1"/>
  <c r="L92" i="1"/>
  <c r="L128" i="1" s="1"/>
  <c r="L91" i="1"/>
  <c r="N92" i="1"/>
  <c r="N128" i="1" s="1"/>
  <c r="N91" i="1"/>
  <c r="N127" i="1" s="1"/>
  <c r="N93" i="1"/>
  <c r="O93" i="1"/>
  <c r="O91" i="1"/>
  <c r="O92" i="1"/>
  <c r="O128" i="1" s="1"/>
  <c r="H110" i="1"/>
  <c r="H111" i="1"/>
  <c r="H109" i="1"/>
  <c r="S110" i="1"/>
  <c r="S109" i="1"/>
  <c r="G91" i="1"/>
  <c r="G127" i="1" s="1"/>
  <c r="G92" i="1"/>
  <c r="G128" i="1" s="1"/>
  <c r="G93" i="1"/>
  <c r="Z93" i="1"/>
  <c r="O111" i="1"/>
  <c r="O110" i="1"/>
  <c r="O109" i="1"/>
  <c r="R123" i="1"/>
  <c r="I140" i="1"/>
  <c r="M197" i="1"/>
  <c r="M198" i="1"/>
  <c r="E101" i="1"/>
  <c r="E137" i="1" s="1"/>
  <c r="D198" i="1"/>
  <c r="AB198" i="1" s="1"/>
  <c r="D196" i="1"/>
  <c r="D114" i="1"/>
  <c r="D112" i="1"/>
  <c r="AB112" i="1" s="1"/>
  <c r="D113" i="1"/>
  <c r="D197" i="1"/>
  <c r="AC232" i="1"/>
  <c r="AC236" i="1" s="1"/>
  <c r="F236" i="1"/>
  <c r="T94" i="1"/>
  <c r="T178" i="1"/>
  <c r="T180" i="1"/>
  <c r="T96" i="1"/>
  <c r="E112" i="1"/>
  <c r="E114" i="1"/>
  <c r="E198" i="1"/>
  <c r="E197" i="1"/>
  <c r="E113" i="1"/>
  <c r="E196" i="1"/>
  <c r="G120" i="1"/>
  <c r="G119" i="1"/>
  <c r="G118" i="1"/>
  <c r="G204" i="1"/>
  <c r="G202" i="1"/>
  <c r="F102" i="1"/>
  <c r="F101" i="1"/>
  <c r="F185" i="1"/>
  <c r="F100" i="1"/>
  <c r="G104" i="1"/>
  <c r="G140" i="1" s="1"/>
  <c r="G105" i="1"/>
  <c r="G141" i="1" s="1"/>
  <c r="G103" i="1"/>
  <c r="G187" i="1"/>
  <c r="G189" i="1"/>
  <c r="G188" i="1"/>
  <c r="U105" i="1"/>
  <c r="U103" i="1"/>
  <c r="U189" i="1"/>
  <c r="U187" i="1"/>
  <c r="F105" i="1"/>
  <c r="F189" i="1"/>
  <c r="F188" i="1"/>
  <c r="F187" i="1"/>
  <c r="F103" i="1"/>
  <c r="F104" i="1"/>
  <c r="K189" i="1"/>
  <c r="K105" i="1"/>
  <c r="K104" i="1"/>
  <c r="K188" i="1"/>
  <c r="K187" i="1"/>
  <c r="K103" i="1"/>
  <c r="M189" i="1"/>
  <c r="M188" i="1"/>
  <c r="M104" i="1"/>
  <c r="M105" i="1"/>
  <c r="M141" i="1" s="1"/>
  <c r="M103" i="1"/>
  <c r="M187" i="1"/>
  <c r="G160" i="1"/>
  <c r="G214" i="1" s="1"/>
  <c r="E161" i="1"/>
  <c r="F160" i="1"/>
  <c r="D160" i="1"/>
  <c r="D162" i="1"/>
  <c r="E162" i="1"/>
  <c r="F161" i="1"/>
  <c r="E160" i="1"/>
  <c r="F178" i="1"/>
  <c r="H162" i="1"/>
  <c r="D161" i="1"/>
  <c r="F180" i="1"/>
  <c r="AC180" i="1" s="1"/>
  <c r="F179" i="1"/>
  <c r="F162" i="1"/>
  <c r="G161" i="1"/>
  <c r="P178" i="1"/>
  <c r="R198" i="1"/>
  <c r="G162" i="1"/>
  <c r="G216" i="1" s="1"/>
  <c r="Q197" i="1"/>
  <c r="O180" i="1"/>
  <c r="O179" i="1"/>
  <c r="Q198" i="1"/>
  <c r="Q196" i="1"/>
  <c r="S197" i="1"/>
  <c r="P180" i="1"/>
  <c r="R197" i="1"/>
  <c r="P179" i="1"/>
  <c r="S198" i="1"/>
  <c r="U178" i="1"/>
  <c r="Z180" i="1"/>
  <c r="R196" i="1"/>
  <c r="U180" i="1"/>
  <c r="O178" i="1"/>
  <c r="N179" i="1"/>
  <c r="S196" i="1"/>
  <c r="D140" i="1"/>
  <c r="N12" i="1"/>
  <c r="P102" i="1"/>
  <c r="K118" i="1"/>
  <c r="Y102" i="1"/>
  <c r="P101" i="1"/>
  <c r="P137" i="1" s="1"/>
  <c r="O118" i="1"/>
  <c r="J102" i="1"/>
  <c r="J138" i="1" s="1"/>
  <c r="O119" i="1"/>
  <c r="L119" i="1"/>
  <c r="D120" i="1"/>
  <c r="AB120" i="1" s="1"/>
  <c r="O100" i="1"/>
  <c r="O136" i="1" s="1"/>
  <c r="E100" i="1"/>
  <c r="E136" i="1" s="1"/>
  <c r="E250" i="1" s="1"/>
  <c r="J100" i="1"/>
  <c r="J136" i="1" s="1"/>
  <c r="L100" i="1"/>
  <c r="D102" i="1"/>
  <c r="H118" i="1"/>
  <c r="D118" i="1"/>
  <c r="AB118" i="1" s="1"/>
  <c r="F82" i="1"/>
  <c r="E84" i="1"/>
  <c r="H180" i="1"/>
  <c r="X90" i="1"/>
  <c r="X174" i="1"/>
  <c r="X88" i="1"/>
  <c r="X172" i="1"/>
  <c r="J90" i="1"/>
  <c r="J88" i="1"/>
  <c r="J89" i="1"/>
  <c r="J172" i="1"/>
  <c r="J174" i="1"/>
  <c r="J173" i="1"/>
  <c r="Z174" i="1"/>
  <c r="Z90" i="1"/>
  <c r="U90" i="1"/>
  <c r="U88" i="1"/>
  <c r="U174" i="1"/>
  <c r="U172" i="1"/>
  <c r="F174" i="1"/>
  <c r="F90" i="1"/>
  <c r="F88" i="1"/>
  <c r="F173" i="1"/>
  <c r="AC173" i="1" s="1"/>
  <c r="F89" i="1"/>
  <c r="F172" i="1"/>
  <c r="F208" i="1" s="1"/>
  <c r="H173" i="1"/>
  <c r="H174" i="1"/>
  <c r="H210" i="1" s="1"/>
  <c r="H228" i="1" s="1"/>
  <c r="H229" i="1" s="1"/>
  <c r="H89" i="1"/>
  <c r="H88" i="1"/>
  <c r="H90" i="1"/>
  <c r="H172" i="1"/>
  <c r="D106" i="1"/>
  <c r="D108" i="1"/>
  <c r="D190" i="1"/>
  <c r="D191" i="1"/>
  <c r="D107" i="1"/>
  <c r="D192" i="1"/>
  <c r="AB192" i="1" s="1"/>
  <c r="R107" i="1"/>
  <c r="R147" i="1" s="1"/>
  <c r="R192" i="1"/>
  <c r="R108" i="1"/>
  <c r="R148" i="1" s="1"/>
  <c r="R152" i="1" s="1"/>
  <c r="R190" i="1"/>
  <c r="R106" i="1"/>
  <c r="R146" i="1" s="1"/>
  <c r="R191" i="1"/>
  <c r="I191" i="1"/>
  <c r="I108" i="1"/>
  <c r="I148" i="1" s="1"/>
  <c r="I152" i="1" s="1"/>
  <c r="I190" i="1"/>
  <c r="I106" i="1"/>
  <c r="I146" i="1" s="1"/>
  <c r="I107" i="1"/>
  <c r="I147" i="1" s="1"/>
  <c r="I192" i="1"/>
  <c r="L88" i="1"/>
  <c r="L89" i="1"/>
  <c r="L174" i="1"/>
  <c r="L172" i="1"/>
  <c r="L90" i="1"/>
  <c r="L173" i="1"/>
  <c r="N178" i="1"/>
  <c r="I178" i="1"/>
  <c r="H178" i="1"/>
  <c r="L8" i="1"/>
  <c r="R113" i="1"/>
  <c r="S11" i="1"/>
  <c r="S203" i="1" s="1"/>
  <c r="R119" i="1"/>
  <c r="P92" i="1"/>
  <c r="P91" i="1"/>
  <c r="P93" i="1"/>
  <c r="P129" i="1" s="1"/>
  <c r="F93" i="1"/>
  <c r="F92" i="1"/>
  <c r="F91" i="1"/>
  <c r="L110" i="1"/>
  <c r="L109" i="1"/>
  <c r="L111" i="1"/>
  <c r="D111" i="1"/>
  <c r="D109" i="1"/>
  <c r="AB109" i="1" s="1"/>
  <c r="D110" i="1"/>
  <c r="AB110" i="1" s="1"/>
  <c r="I111" i="1"/>
  <c r="I110" i="1"/>
  <c r="I109" i="1"/>
  <c r="X93" i="1"/>
  <c r="X91" i="1"/>
  <c r="W91" i="1"/>
  <c r="W93" i="1"/>
  <c r="P110" i="1"/>
  <c r="P109" i="1"/>
  <c r="P111" i="1"/>
  <c r="O141" i="1"/>
  <c r="G85" i="1"/>
  <c r="AC122" i="1"/>
  <c r="L198" i="1"/>
  <c r="G197" i="1"/>
  <c r="F198" i="1"/>
  <c r="AB156" i="1"/>
  <c r="R102" i="1"/>
  <c r="R138" i="1" s="1"/>
  <c r="W100" i="1"/>
  <c r="C215" i="19"/>
  <c r="D75" i="1"/>
  <c r="E74" i="1"/>
  <c r="E73" i="1"/>
  <c r="F74" i="1"/>
  <c r="D73" i="1"/>
  <c r="G73" i="1"/>
  <c r="F73" i="1"/>
  <c r="H73" i="1"/>
  <c r="E75" i="1"/>
  <c r="D74" i="1"/>
  <c r="G74" i="1"/>
  <c r="F75" i="1"/>
  <c r="G75" i="1"/>
  <c r="H75" i="1"/>
  <c r="E179" i="1"/>
  <c r="E178" i="1"/>
  <c r="E180" i="1"/>
  <c r="E94" i="1"/>
  <c r="E130" i="1" s="1"/>
  <c r="E96" i="1"/>
  <c r="E132" i="1" s="1"/>
  <c r="E95" i="1"/>
  <c r="E131" i="1" s="1"/>
  <c r="AD234" i="1"/>
  <c r="AD235" i="1"/>
  <c r="AD237" i="1" s="1"/>
  <c r="L237" i="1"/>
  <c r="P64" i="1"/>
  <c r="I65" i="1"/>
  <c r="Y65" i="1"/>
  <c r="S64" i="1"/>
  <c r="L65" i="1"/>
  <c r="F64" i="1"/>
  <c r="V64" i="1"/>
  <c r="O65" i="1"/>
  <c r="I64" i="1"/>
  <c r="Y64" i="1"/>
  <c r="R65" i="1"/>
  <c r="E56" i="19"/>
  <c r="H64" i="1"/>
  <c r="X64" i="1"/>
  <c r="Q65" i="1"/>
  <c r="K64" i="1"/>
  <c r="D65" i="1"/>
  <c r="T65" i="1"/>
  <c r="N64" i="1"/>
  <c r="G65" i="1"/>
  <c r="W65" i="1"/>
  <c r="Q64" i="1"/>
  <c r="J65" i="1"/>
  <c r="Z65" i="1"/>
  <c r="L64" i="1"/>
  <c r="U65" i="1"/>
  <c r="H65" i="1"/>
  <c r="R64" i="1"/>
  <c r="E64" i="1"/>
  <c r="N65" i="1"/>
  <c r="E65" i="1"/>
  <c r="O64" i="1"/>
  <c r="X65" i="1"/>
  <c r="K65" i="1"/>
  <c r="U64" i="1"/>
  <c r="G64" i="1"/>
  <c r="Z64" i="1"/>
  <c r="V65" i="1"/>
  <c r="T64" i="1"/>
  <c r="P65" i="1"/>
  <c r="M64" i="1"/>
  <c r="D64" i="1"/>
  <c r="S65" i="1"/>
  <c r="W64" i="1"/>
  <c r="F65" i="1"/>
  <c r="M65" i="1"/>
  <c r="J64" i="1"/>
  <c r="M178" i="1"/>
  <c r="M180" i="1"/>
  <c r="M96" i="1"/>
  <c r="M132" i="1" s="1"/>
  <c r="M179" i="1"/>
  <c r="M94" i="1"/>
  <c r="M130" i="1" s="1"/>
  <c r="M95" i="1"/>
  <c r="M131" i="1" s="1"/>
  <c r="K180" i="1"/>
  <c r="K95" i="1"/>
  <c r="K94" i="1"/>
  <c r="K178" i="1"/>
  <c r="K96" i="1"/>
  <c r="K179" i="1"/>
  <c r="W180" i="1"/>
  <c r="W178" i="1"/>
  <c r="W96" i="1"/>
  <c r="W94" i="1"/>
  <c r="D96" i="1"/>
  <c r="D95" i="1"/>
  <c r="D178" i="1"/>
  <c r="AB178" i="1" s="1"/>
  <c r="D180" i="1"/>
  <c r="D179" i="1"/>
  <c r="AB179" i="1" s="1"/>
  <c r="D94" i="1"/>
  <c r="H113" i="1"/>
  <c r="H131" i="1" s="1"/>
  <c r="H197" i="1"/>
  <c r="H114" i="1"/>
  <c r="AC114" i="1" s="1"/>
  <c r="H198" i="1"/>
  <c r="H112" i="1"/>
  <c r="H196" i="1"/>
  <c r="AC96" i="1"/>
  <c r="F132" i="1"/>
  <c r="Q203" i="1"/>
  <c r="Q202" i="1"/>
  <c r="Q120" i="1"/>
  <c r="Q118" i="1"/>
  <c r="Q119" i="1"/>
  <c r="U102" i="1"/>
  <c r="U100" i="1"/>
  <c r="X105" i="1"/>
  <c r="X187" i="1"/>
  <c r="X103" i="1"/>
  <c r="X189" i="1"/>
  <c r="E105" i="1"/>
  <c r="E189" i="1"/>
  <c r="E103" i="1"/>
  <c r="E139" i="1" s="1"/>
  <c r="E187" i="1"/>
  <c r="AB187" i="1" s="1"/>
  <c r="E104" i="1"/>
  <c r="E188" i="1"/>
  <c r="M121" i="1"/>
  <c r="M123" i="1"/>
  <c r="M205" i="1"/>
  <c r="M207" i="1"/>
  <c r="M206" i="1"/>
  <c r="M122" i="1"/>
  <c r="P189" i="1"/>
  <c r="P105" i="1"/>
  <c r="P141" i="1" s="1"/>
  <c r="P104" i="1"/>
  <c r="P140" i="1" s="1"/>
  <c r="P188" i="1"/>
  <c r="P103" i="1"/>
  <c r="P139" i="1" s="1"/>
  <c r="P187" i="1"/>
  <c r="E122" i="1"/>
  <c r="E207" i="1"/>
  <c r="E206" i="1"/>
  <c r="E121" i="1"/>
  <c r="E123" i="1"/>
  <c r="E205" i="1"/>
  <c r="AB76" i="1"/>
  <c r="H119" i="1"/>
  <c r="AC235" i="1"/>
  <c r="AC237" i="1" s="1"/>
  <c r="AB188" i="1"/>
  <c r="I24" i="1"/>
  <c r="I84" i="1" s="1"/>
  <c r="H72" i="1"/>
  <c r="H78" i="1"/>
  <c r="H20" i="1"/>
  <c r="H83" i="1" s="1"/>
  <c r="G71" i="1"/>
  <c r="G77" i="1"/>
  <c r="H120" i="1"/>
  <c r="R100" i="1"/>
  <c r="R136" i="1" s="1"/>
  <c r="R118" i="1"/>
  <c r="O102" i="1"/>
  <c r="O138" i="1" s="1"/>
  <c r="O120" i="1"/>
  <c r="L101" i="1"/>
  <c r="L137" i="1" s="1"/>
  <c r="P100" i="1"/>
  <c r="P136" i="1" s="1"/>
  <c r="P120" i="1"/>
  <c r="M118" i="1"/>
  <c r="M101" i="1"/>
  <c r="M137" i="1" s="1"/>
  <c r="K119" i="1"/>
  <c r="E102" i="1"/>
  <c r="E138" i="1" s="1"/>
  <c r="M120" i="1"/>
  <c r="J101" i="1"/>
  <c r="J137" i="1" s="1"/>
  <c r="H100" i="1"/>
  <c r="H136" i="1" s="1"/>
  <c r="D119" i="1"/>
  <c r="AB119" i="1" s="1"/>
  <c r="G100" i="1"/>
  <c r="G136" i="1" s="1"/>
  <c r="G83" i="1"/>
  <c r="G82" i="1"/>
  <c r="E83" i="1"/>
  <c r="W105" i="1"/>
  <c r="H107" i="1"/>
  <c r="H147" i="1" s="1"/>
  <c r="H191" i="1"/>
  <c r="H190" i="1"/>
  <c r="H192" i="1"/>
  <c r="H108" i="1"/>
  <c r="H148" i="1" s="1"/>
  <c r="H152" i="1" s="1"/>
  <c r="H106" i="1"/>
  <c r="H146" i="1" s="1"/>
  <c r="D90" i="1"/>
  <c r="D172" i="1"/>
  <c r="D88" i="1"/>
  <c r="D173" i="1"/>
  <c r="AB173" i="1" s="1"/>
  <c r="D174" i="1"/>
  <c r="D89" i="1"/>
  <c r="K173" i="1"/>
  <c r="K88" i="1"/>
  <c r="K172" i="1"/>
  <c r="K89" i="1"/>
  <c r="K174" i="1"/>
  <c r="K90" i="1"/>
  <c r="M192" i="1"/>
  <c r="M108" i="1"/>
  <c r="M148" i="1" s="1"/>
  <c r="M152" i="1" s="1"/>
  <c r="M190" i="1"/>
  <c r="M107" i="1"/>
  <c r="M147" i="1" s="1"/>
  <c r="M191" i="1"/>
  <c r="M106" i="1"/>
  <c r="M146" i="1" s="1"/>
  <c r="E90" i="1"/>
  <c r="E89" i="1"/>
  <c r="E172" i="1"/>
  <c r="E208" i="1" s="1"/>
  <c r="E226" i="1" s="1"/>
  <c r="E173" i="1"/>
  <c r="E174" i="1"/>
  <c r="E210" i="1" s="1"/>
  <c r="E228" i="1" s="1"/>
  <c r="E229" i="1" s="1"/>
  <c r="E88" i="1"/>
  <c r="E107" i="1"/>
  <c r="E147" i="1" s="1"/>
  <c r="E106" i="1"/>
  <c r="E146" i="1" s="1"/>
  <c r="E191" i="1"/>
  <c r="E209" i="1" s="1"/>
  <c r="E227" i="1" s="1"/>
  <c r="E108" i="1"/>
  <c r="E148" i="1" s="1"/>
  <c r="E152" i="1" s="1"/>
  <c r="E190" i="1"/>
  <c r="E192" i="1"/>
  <c r="K191" i="1"/>
  <c r="K107" i="1"/>
  <c r="K190" i="1"/>
  <c r="K108" i="1"/>
  <c r="K106" i="1"/>
  <c r="K192" i="1"/>
  <c r="N174" i="1"/>
  <c r="N90" i="1"/>
  <c r="N172" i="1"/>
  <c r="N89" i="1"/>
  <c r="N88" i="1"/>
  <c r="N173" i="1"/>
  <c r="T174" i="1"/>
  <c r="T90" i="1"/>
  <c r="T172" i="1"/>
  <c r="T88" i="1"/>
  <c r="O174" i="1"/>
  <c r="O90" i="1"/>
  <c r="O172" i="1"/>
  <c r="O88" i="1"/>
  <c r="O173" i="1"/>
  <c r="O89" i="1"/>
  <c r="S107" i="1"/>
  <c r="S147" i="1" s="1"/>
  <c r="S190" i="1"/>
  <c r="S191" i="1"/>
  <c r="S106" i="1"/>
  <c r="S146" i="1" s="1"/>
  <c r="N131" i="1"/>
  <c r="I131" i="1"/>
  <c r="H130" i="1"/>
  <c r="O131" i="1"/>
  <c r="G86" i="1"/>
  <c r="T105" i="1"/>
  <c r="D93" i="1"/>
  <c r="D91" i="1"/>
  <c r="D177" i="1"/>
  <c r="D92" i="1"/>
  <c r="D176" i="1"/>
  <c r="U93" i="1"/>
  <c r="U177" i="1"/>
  <c r="U91" i="1"/>
  <c r="T93" i="1"/>
  <c r="T91" i="1"/>
  <c r="T175" i="1"/>
  <c r="R195" i="1"/>
  <c r="R110" i="1"/>
  <c r="R193" i="1"/>
  <c r="R111" i="1"/>
  <c r="R109" i="1"/>
  <c r="H93" i="1"/>
  <c r="H129" i="1" s="1"/>
  <c r="H92" i="1"/>
  <c r="H175" i="1"/>
  <c r="H91" i="1"/>
  <c r="H127" i="1" s="1"/>
  <c r="M92" i="1"/>
  <c r="M128" i="1" s="1"/>
  <c r="M91" i="1"/>
  <c r="M127" i="1" s="1"/>
  <c r="M93" i="1"/>
  <c r="M129" i="1" s="1"/>
  <c r="Q93" i="1"/>
  <c r="Q177" i="1"/>
  <c r="Q91" i="1"/>
  <c r="Q127" i="1" s="1"/>
  <c r="Q176" i="1"/>
  <c r="F110" i="1"/>
  <c r="AC110" i="1" s="1"/>
  <c r="F109" i="1"/>
  <c r="AC109" i="1" s="1"/>
  <c r="F111" i="1"/>
  <c r="F195" i="1"/>
  <c r="Q111" i="1"/>
  <c r="Q110" i="1"/>
  <c r="Q109" i="1"/>
  <c r="Q194" i="1"/>
  <c r="Q193" i="1"/>
  <c r="I93" i="1"/>
  <c r="I129" i="1" s="1"/>
  <c r="I177" i="1"/>
  <c r="I92" i="1"/>
  <c r="I128" i="1" s="1"/>
  <c r="I91" i="1"/>
  <c r="I127" i="1" s="1"/>
  <c r="Y105" i="1"/>
  <c r="R105" i="1"/>
  <c r="R141" i="1" s="1"/>
  <c r="AB85" i="1"/>
  <c r="L139" i="1"/>
  <c r="J140" i="1"/>
  <c r="I139" i="1"/>
  <c r="G169" i="1"/>
  <c r="G223" i="1" s="1"/>
  <c r="F169" i="1"/>
  <c r="F205" i="1"/>
  <c r="AC205" i="1" s="1"/>
  <c r="D169" i="1"/>
  <c r="E170" i="1"/>
  <c r="E224" i="1" s="1"/>
  <c r="D170" i="1"/>
  <c r="E169" i="1"/>
  <c r="E223" i="1" s="1"/>
  <c r="F206" i="1"/>
  <c r="H169" i="1"/>
  <c r="H223" i="1" s="1"/>
  <c r="F171" i="1"/>
  <c r="E171" i="1"/>
  <c r="E225" i="1" s="1"/>
  <c r="G170" i="1"/>
  <c r="G224" i="1" s="1"/>
  <c r="H170" i="1"/>
  <c r="H224" i="1" s="1"/>
  <c r="F207" i="1"/>
  <c r="H171" i="1"/>
  <c r="L188" i="1"/>
  <c r="L187" i="1"/>
  <c r="I189" i="1"/>
  <c r="I187" i="1"/>
  <c r="J189" i="1"/>
  <c r="F170" i="1"/>
  <c r="J187" i="1"/>
  <c r="N207" i="1"/>
  <c r="P206" i="1"/>
  <c r="O188" i="1"/>
  <c r="Q205" i="1"/>
  <c r="Q187" i="1"/>
  <c r="R189" i="1"/>
  <c r="D171" i="1"/>
  <c r="H207" i="1"/>
  <c r="G171" i="1"/>
  <c r="I171" i="1"/>
  <c r="I225" i="1" s="1"/>
  <c r="I255" i="1" s="1"/>
  <c r="I188" i="1"/>
  <c r="J188" i="1"/>
  <c r="R206" i="1"/>
  <c r="Q189" i="1"/>
  <c r="R207" i="1"/>
  <c r="K206" i="1"/>
  <c r="P207" i="1"/>
  <c r="S206" i="1"/>
  <c r="R187" i="1"/>
  <c r="Y189" i="1"/>
  <c r="D189" i="1"/>
  <c r="AB189" i="1" s="1"/>
  <c r="O187" i="1"/>
  <c r="P205" i="1"/>
  <c r="K207" i="1"/>
  <c r="L189" i="1"/>
  <c r="O189" i="1"/>
  <c r="Q207" i="1"/>
  <c r="R205" i="1"/>
  <c r="T189" i="1"/>
  <c r="W187" i="1"/>
  <c r="Z189" i="1"/>
  <c r="Q206" i="1"/>
  <c r="S205" i="1"/>
  <c r="T187" i="1"/>
  <c r="W189" i="1"/>
  <c r="AC112" i="1"/>
  <c r="G210" i="1"/>
  <c r="G228" i="1" s="1"/>
  <c r="G229" i="1" s="1"/>
  <c r="G155" i="1"/>
  <c r="G209" i="1" s="1"/>
  <c r="G227" i="1" s="1"/>
  <c r="AB154" i="1"/>
  <c r="D208" i="1"/>
  <c r="I179" i="1"/>
  <c r="Y6" i="1"/>
  <c r="X100" i="1"/>
  <c r="F226" i="1" l="1"/>
  <c r="I409" i="1"/>
  <c r="Z6" i="1"/>
  <c r="Y103" i="1"/>
  <c r="Y100" i="1"/>
  <c r="Y187" i="1"/>
  <c r="H225" i="1"/>
  <c r="H255" i="1" s="1"/>
  <c r="AB91" i="1"/>
  <c r="D127" i="1"/>
  <c r="T151" i="1"/>
  <c r="T153" i="1" s="1"/>
  <c r="N149" i="1"/>
  <c r="N124" i="1"/>
  <c r="AB174" i="1"/>
  <c r="D126" i="1"/>
  <c r="AB90" i="1"/>
  <c r="D151" i="1"/>
  <c r="E140" i="1"/>
  <c r="E254" i="1" s="1"/>
  <c r="E141" i="1"/>
  <c r="E255" i="1" s="1"/>
  <c r="K130" i="1"/>
  <c r="P99" i="1"/>
  <c r="P181" i="1"/>
  <c r="P97" i="1"/>
  <c r="P182" i="1"/>
  <c r="P183" i="1"/>
  <c r="P98" i="1"/>
  <c r="P134" i="1" s="1"/>
  <c r="G116" i="1"/>
  <c r="G199" i="1"/>
  <c r="G115" i="1"/>
  <c r="G201" i="1"/>
  <c r="G117" i="1"/>
  <c r="G200" i="1"/>
  <c r="O116" i="1"/>
  <c r="O117" i="1"/>
  <c r="O115" i="1"/>
  <c r="O199" i="1"/>
  <c r="O201" i="1"/>
  <c r="O200" i="1"/>
  <c r="R200" i="1"/>
  <c r="R116" i="1"/>
  <c r="R201" i="1"/>
  <c r="R117" i="1"/>
  <c r="R115" i="1"/>
  <c r="R199" i="1"/>
  <c r="Z183" i="1"/>
  <c r="Z99" i="1"/>
  <c r="Z181" i="1"/>
  <c r="G97" i="1"/>
  <c r="G133" i="1" s="1"/>
  <c r="G99" i="1"/>
  <c r="G135" i="1" s="1"/>
  <c r="G182" i="1"/>
  <c r="G98" i="1"/>
  <c r="G134" i="1" s="1"/>
  <c r="G181" i="1"/>
  <c r="G183" i="1"/>
  <c r="K116" i="1"/>
  <c r="K201" i="1"/>
  <c r="K115" i="1"/>
  <c r="K200" i="1"/>
  <c r="K199" i="1"/>
  <c r="K117" i="1"/>
  <c r="O99" i="1"/>
  <c r="O183" i="1"/>
  <c r="O97" i="1"/>
  <c r="O133" i="1" s="1"/>
  <c r="O181" i="1"/>
  <c r="O98" i="1"/>
  <c r="O134" i="1" s="1"/>
  <c r="O182" i="1"/>
  <c r="S117" i="1"/>
  <c r="S201" i="1"/>
  <c r="S199" i="1"/>
  <c r="S200" i="1"/>
  <c r="S115" i="1"/>
  <c r="S116" i="1"/>
  <c r="I75" i="1"/>
  <c r="G157" i="1"/>
  <c r="E159" i="1"/>
  <c r="F157" i="1"/>
  <c r="E158" i="1"/>
  <c r="D159" i="1"/>
  <c r="F158" i="1"/>
  <c r="H159" i="1"/>
  <c r="H158" i="1"/>
  <c r="H157" i="1"/>
  <c r="G158" i="1"/>
  <c r="D157" i="1"/>
  <c r="D158" i="1"/>
  <c r="I159" i="1"/>
  <c r="I213" i="1" s="1"/>
  <c r="F159" i="1"/>
  <c r="G159" i="1"/>
  <c r="E157" i="1"/>
  <c r="P194" i="1"/>
  <c r="X175" i="1"/>
  <c r="I194" i="1"/>
  <c r="F176" i="1"/>
  <c r="AC92" i="1"/>
  <c r="F128" i="1"/>
  <c r="P176" i="1"/>
  <c r="P177" i="1"/>
  <c r="H132" i="1"/>
  <c r="L125" i="1"/>
  <c r="L150" i="1"/>
  <c r="AB191" i="1"/>
  <c r="U151" i="1"/>
  <c r="U153" i="1" s="1"/>
  <c r="J124" i="1"/>
  <c r="J149" i="1"/>
  <c r="X151" i="1"/>
  <c r="X153" i="1" s="1"/>
  <c r="D138" i="1"/>
  <c r="AB102" i="1"/>
  <c r="O12" i="1"/>
  <c r="D254" i="1"/>
  <c r="I162" i="1"/>
  <c r="I216" i="1" s="1"/>
  <c r="I246" i="1" s="1"/>
  <c r="AC178" i="1"/>
  <c r="E216" i="1"/>
  <c r="E246" i="1" s="1"/>
  <c r="E215" i="1"/>
  <c r="F140" i="1"/>
  <c r="AC104" i="1"/>
  <c r="AC189" i="1"/>
  <c r="G255" i="1"/>
  <c r="AC100" i="1"/>
  <c r="F136" i="1"/>
  <c r="AC102" i="1"/>
  <c r="F138" i="1"/>
  <c r="AB197" i="1"/>
  <c r="AB196" i="1"/>
  <c r="G175" i="1"/>
  <c r="S195" i="1"/>
  <c r="H195" i="1"/>
  <c r="O177" i="1"/>
  <c r="O127" i="1"/>
  <c r="N176" i="1"/>
  <c r="L127" i="1"/>
  <c r="S177" i="1"/>
  <c r="J195" i="1"/>
  <c r="E177" i="1"/>
  <c r="E176" i="1"/>
  <c r="AB176" i="1" s="1"/>
  <c r="M193" i="1"/>
  <c r="AC190" i="1"/>
  <c r="S151" i="1"/>
  <c r="S153" i="1" s="1"/>
  <c r="S126" i="1"/>
  <c r="I151" i="1"/>
  <c r="I153" i="1" s="1"/>
  <c r="I126" i="1"/>
  <c r="Q124" i="1"/>
  <c r="Q149" i="1"/>
  <c r="AB203" i="1"/>
  <c r="F220" i="1"/>
  <c r="G137" i="1"/>
  <c r="AB101" i="1"/>
  <c r="D137" i="1"/>
  <c r="D209" i="1"/>
  <c r="AB139" i="1"/>
  <c r="J128" i="1"/>
  <c r="J127" i="1"/>
  <c r="N193" i="1"/>
  <c r="K195" i="1"/>
  <c r="K194" i="1"/>
  <c r="K128" i="1"/>
  <c r="E194" i="1"/>
  <c r="E195" i="1"/>
  <c r="G195" i="1"/>
  <c r="AC195" i="1" s="1"/>
  <c r="M149" i="1"/>
  <c r="M124" i="1"/>
  <c r="P124" i="1"/>
  <c r="P149" i="1"/>
  <c r="P125" i="1"/>
  <c r="P150" i="1"/>
  <c r="Y172" i="1"/>
  <c r="W149" i="1"/>
  <c r="M136" i="1"/>
  <c r="AB122" i="1"/>
  <c r="H253" i="1"/>
  <c r="G356" i="1"/>
  <c r="Q188" i="1"/>
  <c r="D225" i="1"/>
  <c r="AB225" i="1" s="1"/>
  <c r="G364" i="19" s="1"/>
  <c r="AB171" i="1"/>
  <c r="AC207" i="1"/>
  <c r="AC206" i="1"/>
  <c r="AB169" i="1"/>
  <c r="D223" i="1"/>
  <c r="AB223" i="1" s="1"/>
  <c r="I175" i="1"/>
  <c r="I243" i="1"/>
  <c r="AC111" i="1"/>
  <c r="F193" i="1"/>
  <c r="Q175" i="1"/>
  <c r="M176" i="1"/>
  <c r="H176" i="1"/>
  <c r="H177" i="1"/>
  <c r="T177" i="1"/>
  <c r="D128" i="1"/>
  <c r="AB92" i="1"/>
  <c r="D129" i="1"/>
  <c r="AB93" i="1"/>
  <c r="S108" i="1"/>
  <c r="S148" i="1" s="1"/>
  <c r="S152" i="1" s="1"/>
  <c r="O124" i="1"/>
  <c r="O149" i="1"/>
  <c r="T149" i="1"/>
  <c r="N125" i="1"/>
  <c r="N150" i="1"/>
  <c r="K147" i="1"/>
  <c r="E149" i="1"/>
  <c r="E124" i="1"/>
  <c r="E125" i="1"/>
  <c r="E150" i="1"/>
  <c r="K126" i="1"/>
  <c r="K151" i="1"/>
  <c r="AD90" i="1"/>
  <c r="K124" i="1"/>
  <c r="K149" i="1"/>
  <c r="U184" i="1"/>
  <c r="U186" i="1"/>
  <c r="F246" i="1"/>
  <c r="D130" i="1"/>
  <c r="AB94" i="1"/>
  <c r="D131" i="1"/>
  <c r="AB95" i="1"/>
  <c r="K131" i="1"/>
  <c r="J116" i="1"/>
  <c r="J117" i="1"/>
  <c r="J115" i="1"/>
  <c r="J199" i="1"/>
  <c r="J200" i="1"/>
  <c r="J201" i="1"/>
  <c r="S181" i="1"/>
  <c r="S97" i="1"/>
  <c r="S133" i="1" s="1"/>
  <c r="S183" i="1"/>
  <c r="S99" i="1"/>
  <c r="S135" i="1" s="1"/>
  <c r="T115" i="1"/>
  <c r="T117" i="1"/>
  <c r="E98" i="1"/>
  <c r="E181" i="1"/>
  <c r="E183" i="1"/>
  <c r="E182" i="1"/>
  <c r="E99" i="1"/>
  <c r="E135" i="1" s="1"/>
  <c r="E97" i="1"/>
  <c r="H183" i="1"/>
  <c r="H182" i="1"/>
  <c r="H98" i="1"/>
  <c r="H99" i="1"/>
  <c r="H181" i="1"/>
  <c r="H97" i="1"/>
  <c r="J183" i="1"/>
  <c r="J98" i="1"/>
  <c r="J181" i="1"/>
  <c r="J99" i="1"/>
  <c r="J135" i="1" s="1"/>
  <c r="J182" i="1"/>
  <c r="J97" i="1"/>
  <c r="N199" i="1"/>
  <c r="N201" i="1"/>
  <c r="N117" i="1"/>
  <c r="N116" i="1"/>
  <c r="N200" i="1"/>
  <c r="N115" i="1"/>
  <c r="Q183" i="1"/>
  <c r="Q182" i="1"/>
  <c r="Q97" i="1"/>
  <c r="Q98" i="1"/>
  <c r="Q181" i="1"/>
  <c r="Q99" i="1"/>
  <c r="R97" i="1"/>
  <c r="R133" i="1" s="1"/>
  <c r="R183" i="1"/>
  <c r="R181" i="1"/>
  <c r="R99" i="1"/>
  <c r="Y99" i="1"/>
  <c r="Y183" i="1"/>
  <c r="Y97" i="1"/>
  <c r="Y181" i="1"/>
  <c r="E245" i="1"/>
  <c r="H74" i="1"/>
  <c r="AB74" i="1"/>
  <c r="AC198" i="1"/>
  <c r="P193" i="1"/>
  <c r="X177" i="1"/>
  <c r="I195" i="1"/>
  <c r="D195" i="1"/>
  <c r="AB195" i="1" s="1"/>
  <c r="L195" i="1"/>
  <c r="F127" i="1"/>
  <c r="AC91" i="1"/>
  <c r="F129" i="1"/>
  <c r="AC93" i="1"/>
  <c r="P175" i="1"/>
  <c r="L151" i="1"/>
  <c r="L153" i="1" s="1"/>
  <c r="L126" i="1"/>
  <c r="L124" i="1"/>
  <c r="L149" i="1"/>
  <c r="AB190" i="1"/>
  <c r="H126" i="1"/>
  <c r="H151" i="1"/>
  <c r="H153" i="1" s="1"/>
  <c r="F149" i="1"/>
  <c r="F124" i="1"/>
  <c r="AC88" i="1"/>
  <c r="J151" i="1"/>
  <c r="J153" i="1" s="1"/>
  <c r="J126" i="1"/>
  <c r="P138" i="1"/>
  <c r="D215" i="1"/>
  <c r="AB215" i="1" s="1"/>
  <c r="AB161" i="1"/>
  <c r="E214" i="1"/>
  <c r="D216" i="1"/>
  <c r="AB162" i="1"/>
  <c r="M139" i="1"/>
  <c r="K140" i="1"/>
  <c r="F139" i="1"/>
  <c r="AC103" i="1"/>
  <c r="F141" i="1"/>
  <c r="AC105" i="1"/>
  <c r="G254" i="1"/>
  <c r="F186" i="1"/>
  <c r="F222" i="1" s="1"/>
  <c r="F184" i="1"/>
  <c r="AB113" i="1"/>
  <c r="Z175" i="1"/>
  <c r="Z177" i="1"/>
  <c r="S111" i="1"/>
  <c r="S194" i="1"/>
  <c r="H193" i="1"/>
  <c r="O176" i="1"/>
  <c r="O129" i="1"/>
  <c r="N129" i="1"/>
  <c r="N177" i="1"/>
  <c r="L176" i="1"/>
  <c r="S129" i="1"/>
  <c r="J193" i="1"/>
  <c r="E129" i="1"/>
  <c r="M195" i="1"/>
  <c r="F146" i="1"/>
  <c r="AC146" i="1" s="1"/>
  <c r="AC106" i="1"/>
  <c r="F148" i="1"/>
  <c r="AC108" i="1"/>
  <c r="V149" i="1"/>
  <c r="Q173" i="1"/>
  <c r="R149" i="1"/>
  <c r="R124" i="1"/>
  <c r="R151" i="1"/>
  <c r="R153" i="1" s="1"/>
  <c r="R126" i="1"/>
  <c r="M202" i="1"/>
  <c r="M204" i="1"/>
  <c r="W184" i="1"/>
  <c r="R184" i="1"/>
  <c r="P186" i="1"/>
  <c r="R203" i="1"/>
  <c r="E168" i="1"/>
  <c r="E222" i="1" s="1"/>
  <c r="V186" i="1"/>
  <c r="S184" i="1"/>
  <c r="R204" i="1"/>
  <c r="L203" i="1"/>
  <c r="N184" i="1"/>
  <c r="M186" i="1"/>
  <c r="AD186" i="1" s="1"/>
  <c r="E167" i="1"/>
  <c r="N203" i="1"/>
  <c r="K204" i="1"/>
  <c r="D166" i="1"/>
  <c r="M203" i="1"/>
  <c r="E185" i="1"/>
  <c r="G184" i="1"/>
  <c r="D184" i="1"/>
  <c r="AB184" i="1" s="1"/>
  <c r="K203" i="1"/>
  <c r="G185" i="1"/>
  <c r="D202" i="1"/>
  <c r="AB202" i="1" s="1"/>
  <c r="G138" i="1"/>
  <c r="K138" i="1"/>
  <c r="AD102" i="1"/>
  <c r="S136" i="1"/>
  <c r="I202" i="1"/>
  <c r="I204" i="1"/>
  <c r="J132" i="1"/>
  <c r="AC197" i="1"/>
  <c r="Y91" i="1"/>
  <c r="J177" i="1"/>
  <c r="J176" i="1"/>
  <c r="K193" i="1"/>
  <c r="R129" i="1"/>
  <c r="K175" i="1"/>
  <c r="E193" i="1"/>
  <c r="P131" i="1"/>
  <c r="M150" i="1"/>
  <c r="M125" i="1"/>
  <c r="M151" i="1"/>
  <c r="M153" i="1" s="1"/>
  <c r="M126" i="1"/>
  <c r="G125" i="1"/>
  <c r="G150" i="1"/>
  <c r="P151" i="1"/>
  <c r="P153" i="1" s="1"/>
  <c r="P126" i="1"/>
  <c r="Y151" i="1"/>
  <c r="Y153" i="1" s="1"/>
  <c r="AB82" i="1"/>
  <c r="AB84" i="1"/>
  <c r="F354" i="19" s="1"/>
  <c r="K136" i="1"/>
  <c r="AB206" i="1"/>
  <c r="AB123" i="1"/>
  <c r="H254" i="1"/>
  <c r="F203" i="1"/>
  <c r="I184" i="1"/>
  <c r="I138" i="1"/>
  <c r="G131" i="1"/>
  <c r="AC95" i="1"/>
  <c r="S132" i="1"/>
  <c r="Q136" i="1"/>
  <c r="H137" i="1"/>
  <c r="D226" i="1"/>
  <c r="AB226" i="1" s="1"/>
  <c r="AB208" i="1"/>
  <c r="AB177" i="1"/>
  <c r="H244" i="1"/>
  <c r="K146" i="1"/>
  <c r="E151" i="1"/>
  <c r="E153" i="1" s="1"/>
  <c r="E126" i="1"/>
  <c r="AD174" i="1"/>
  <c r="D124" i="1"/>
  <c r="AB88" i="1"/>
  <c r="D149" i="1"/>
  <c r="AB149" i="1" s="1"/>
  <c r="E252" i="1"/>
  <c r="H71" i="1"/>
  <c r="H77" i="1"/>
  <c r="I20" i="1"/>
  <c r="I164" i="1" s="1"/>
  <c r="I218" i="1" s="1"/>
  <c r="H86" i="1"/>
  <c r="H155" i="1"/>
  <c r="H209" i="1" s="1"/>
  <c r="H227" i="1" s="1"/>
  <c r="J24" i="1"/>
  <c r="J159" i="1" s="1"/>
  <c r="J213" i="1" s="1"/>
  <c r="J243" i="1" s="1"/>
  <c r="I72" i="1"/>
  <c r="I78" i="1"/>
  <c r="I87" i="1"/>
  <c r="I156" i="1"/>
  <c r="E253" i="1"/>
  <c r="AB96" i="1"/>
  <c r="D132" i="1"/>
  <c r="K132" i="1"/>
  <c r="AD96" i="1"/>
  <c r="AD180" i="1"/>
  <c r="M183" i="1"/>
  <c r="M99" i="1"/>
  <c r="M135" i="1" s="1"/>
  <c r="M98" i="1"/>
  <c r="M182" i="1"/>
  <c r="M97" i="1"/>
  <c r="M181" i="1"/>
  <c r="D199" i="1"/>
  <c r="D200" i="1"/>
  <c r="AB200" i="1" s="1"/>
  <c r="D116" i="1"/>
  <c r="D115" i="1"/>
  <c r="D201" i="1"/>
  <c r="D117" i="1"/>
  <c r="AB117" i="1" s="1"/>
  <c r="V99" i="1"/>
  <c r="V97" i="1"/>
  <c r="V181" i="1"/>
  <c r="V183" i="1"/>
  <c r="K98" i="1"/>
  <c r="K183" i="1"/>
  <c r="K97" i="1"/>
  <c r="K181" i="1"/>
  <c r="K182" i="1"/>
  <c r="K99" i="1"/>
  <c r="N98" i="1"/>
  <c r="N134" i="1" s="1"/>
  <c r="N182" i="1"/>
  <c r="N97" i="1"/>
  <c r="N133" i="1" s="1"/>
  <c r="N181" i="1"/>
  <c r="N183" i="1"/>
  <c r="N99" i="1"/>
  <c r="N135" i="1" s="1"/>
  <c r="U99" i="1"/>
  <c r="U183" i="1"/>
  <c r="U97" i="1"/>
  <c r="U181" i="1"/>
  <c r="Q116" i="1"/>
  <c r="Q201" i="1"/>
  <c r="Q117" i="1"/>
  <c r="Q115" i="1"/>
  <c r="Q199" i="1"/>
  <c r="Q200" i="1"/>
  <c r="T97" i="1"/>
  <c r="T133" i="1" s="1"/>
  <c r="T183" i="1"/>
  <c r="T181" i="1"/>
  <c r="T99" i="1"/>
  <c r="T135" i="1" s="1"/>
  <c r="F117" i="1"/>
  <c r="F199" i="1"/>
  <c r="AC199" i="1" s="1"/>
  <c r="F200" i="1"/>
  <c r="F201" i="1"/>
  <c r="F115" i="1"/>
  <c r="F116" i="1"/>
  <c r="I99" i="1"/>
  <c r="I183" i="1"/>
  <c r="I97" i="1"/>
  <c r="I182" i="1"/>
  <c r="I181" i="1"/>
  <c r="I98" i="1"/>
  <c r="I134" i="1" s="1"/>
  <c r="P195" i="1"/>
  <c r="W177" i="1"/>
  <c r="I193" i="1"/>
  <c r="D194" i="1"/>
  <c r="AB194" i="1" s="1"/>
  <c r="L194" i="1"/>
  <c r="F175" i="1"/>
  <c r="P127" i="1"/>
  <c r="AB108" i="1"/>
  <c r="D148" i="1"/>
  <c r="H124" i="1"/>
  <c r="H149" i="1"/>
  <c r="AC172" i="1"/>
  <c r="F151" i="1"/>
  <c r="F126" i="1"/>
  <c r="AC90" i="1"/>
  <c r="X149" i="1"/>
  <c r="E316" i="1"/>
  <c r="G215" i="1"/>
  <c r="F216" i="1"/>
  <c r="H161" i="1"/>
  <c r="H215" i="1" s="1"/>
  <c r="H245" i="1" s="1"/>
  <c r="F215" i="1"/>
  <c r="AB160" i="1"/>
  <c r="D214" i="1"/>
  <c r="K139" i="1"/>
  <c r="K141" i="1"/>
  <c r="AD105" i="1"/>
  <c r="AC187" i="1"/>
  <c r="O195" i="1"/>
  <c r="G177" i="1"/>
  <c r="G176" i="1"/>
  <c r="S193" i="1"/>
  <c r="L177" i="1"/>
  <c r="E175" i="1"/>
  <c r="AC192" i="1"/>
  <c r="F147" i="1"/>
  <c r="AC147" i="1" s="1"/>
  <c r="AC107" i="1"/>
  <c r="S149" i="1"/>
  <c r="S124" i="1"/>
  <c r="D222" i="1"/>
  <c r="AB222" i="1" s="1"/>
  <c r="F364" i="19" s="1"/>
  <c r="AB168" i="1"/>
  <c r="AB185" i="1"/>
  <c r="H167" i="1"/>
  <c r="AB167" i="1"/>
  <c r="D221" i="1"/>
  <c r="K137" i="1"/>
  <c r="AB105" i="1"/>
  <c r="S141" i="1"/>
  <c r="Y177" i="1"/>
  <c r="N195" i="1"/>
  <c r="R175" i="1"/>
  <c r="K177" i="1"/>
  <c r="K127" i="1"/>
  <c r="G193" i="1"/>
  <c r="R10" i="1"/>
  <c r="Q101" i="1"/>
  <c r="Q137" i="1" s="1"/>
  <c r="Q104" i="1"/>
  <c r="Q140" i="1" s="1"/>
  <c r="T15" i="1"/>
  <c r="S123" i="1"/>
  <c r="S114" i="1"/>
  <c r="S120" i="1"/>
  <c r="S138" i="1" s="1"/>
  <c r="AB83" i="1"/>
  <c r="N138" i="1"/>
  <c r="H70" i="1"/>
  <c r="I4" i="1"/>
  <c r="H76" i="1"/>
  <c r="H154" i="1"/>
  <c r="H85" i="1"/>
  <c r="H82" i="1"/>
  <c r="AC118" i="1"/>
  <c r="AC119" i="1"/>
  <c r="I136" i="1"/>
  <c r="R130" i="1"/>
  <c r="G130" i="1"/>
  <c r="AC94" i="1"/>
  <c r="Y178" i="1"/>
  <c r="AC113" i="1"/>
  <c r="S207" i="1"/>
  <c r="G225" i="1"/>
  <c r="F224" i="1"/>
  <c r="F225" i="1"/>
  <c r="AB170" i="1"/>
  <c r="D224" i="1"/>
  <c r="AB224" i="1" s="1"/>
  <c r="F223" i="1"/>
  <c r="I176" i="1"/>
  <c r="Q195" i="1"/>
  <c r="F194" i="1"/>
  <c r="Q92" i="1"/>
  <c r="Q128" i="1" s="1"/>
  <c r="Q129" i="1"/>
  <c r="M175" i="1"/>
  <c r="M177" i="1"/>
  <c r="H128" i="1"/>
  <c r="R194" i="1"/>
  <c r="U175" i="1"/>
  <c r="D175" i="1"/>
  <c r="S192" i="1"/>
  <c r="O125" i="1"/>
  <c r="O150" i="1"/>
  <c r="O126" i="1"/>
  <c r="O151" i="1"/>
  <c r="O153" i="1" s="1"/>
  <c r="N126" i="1"/>
  <c r="N151" i="1"/>
  <c r="N153" i="1" s="1"/>
  <c r="K148" i="1"/>
  <c r="K125" i="1"/>
  <c r="K150" i="1"/>
  <c r="AB89" i="1"/>
  <c r="D125" i="1"/>
  <c r="D150" i="1"/>
  <c r="AB172" i="1"/>
  <c r="Q204" i="1"/>
  <c r="AB180" i="1"/>
  <c r="F183" i="1"/>
  <c r="AC183" i="1" s="1"/>
  <c r="F98" i="1"/>
  <c r="F181" i="1"/>
  <c r="AC181" i="1" s="1"/>
  <c r="F99" i="1"/>
  <c r="F97" i="1"/>
  <c r="F182" i="1"/>
  <c r="M116" i="1"/>
  <c r="M201" i="1"/>
  <c r="M199" i="1"/>
  <c r="M115" i="1"/>
  <c r="M200" i="1"/>
  <c r="M117" i="1"/>
  <c r="X181" i="1"/>
  <c r="X99" i="1"/>
  <c r="X183" i="1"/>
  <c r="X97" i="1"/>
  <c r="E115" i="1"/>
  <c r="E201" i="1"/>
  <c r="E116" i="1"/>
  <c r="E200" i="1"/>
  <c r="E199" i="1"/>
  <c r="E117" i="1"/>
  <c r="L200" i="1"/>
  <c r="L115" i="1"/>
  <c r="L201" i="1"/>
  <c r="L199" i="1"/>
  <c r="L117" i="1"/>
  <c r="L116" i="1"/>
  <c r="W183" i="1"/>
  <c r="W97" i="1"/>
  <c r="W181" i="1"/>
  <c r="W99" i="1"/>
  <c r="D183" i="1"/>
  <c r="AB183" i="1" s="1"/>
  <c r="D97" i="1"/>
  <c r="D98" i="1"/>
  <c r="D99" i="1"/>
  <c r="D182" i="1"/>
  <c r="AB182" i="1" s="1"/>
  <c r="D181" i="1"/>
  <c r="AB181" i="1" s="1"/>
  <c r="H201" i="1"/>
  <c r="H115" i="1"/>
  <c r="H200" i="1"/>
  <c r="H199" i="1"/>
  <c r="H116" i="1"/>
  <c r="H117" i="1"/>
  <c r="I200" i="1"/>
  <c r="I116" i="1"/>
  <c r="I201" i="1"/>
  <c r="I199" i="1"/>
  <c r="I117" i="1"/>
  <c r="I115" i="1"/>
  <c r="L182" i="1"/>
  <c r="L98" i="1"/>
  <c r="L134" i="1" s="1"/>
  <c r="L183" i="1"/>
  <c r="L99" i="1"/>
  <c r="L97" i="1"/>
  <c r="L133" i="1" s="1"/>
  <c r="L181" i="1"/>
  <c r="P200" i="1"/>
  <c r="P115" i="1"/>
  <c r="P199" i="1"/>
  <c r="P116" i="1"/>
  <c r="P117" i="1"/>
  <c r="P201" i="1"/>
  <c r="E244" i="1"/>
  <c r="AB73" i="1"/>
  <c r="AB75" i="1"/>
  <c r="C354" i="19" s="1"/>
  <c r="D210" i="1"/>
  <c r="F209" i="1"/>
  <c r="W175" i="1"/>
  <c r="D193" i="1"/>
  <c r="AB193" i="1" s="1"/>
  <c r="AB111" i="1"/>
  <c r="L193" i="1"/>
  <c r="F177" i="1"/>
  <c r="AC177" i="1" s="1"/>
  <c r="P128" i="1"/>
  <c r="T11" i="1"/>
  <c r="S113" i="1"/>
  <c r="S122" i="1"/>
  <c r="S119" i="1"/>
  <c r="M8" i="1"/>
  <c r="AB107" i="1"/>
  <c r="D147" i="1"/>
  <c r="AB147" i="1" s="1"/>
  <c r="AB106" i="1"/>
  <c r="D146" i="1"/>
  <c r="AB146" i="1" s="1"/>
  <c r="H125" i="1"/>
  <c r="H150" i="1"/>
  <c r="F150" i="1"/>
  <c r="F125" i="1"/>
  <c r="AC89" i="1"/>
  <c r="AC174" i="1"/>
  <c r="U149" i="1"/>
  <c r="Z151" i="1"/>
  <c r="Z153" i="1" s="1"/>
  <c r="J125" i="1"/>
  <c r="J150" i="1"/>
  <c r="L136" i="1"/>
  <c r="AB104" i="1"/>
  <c r="AC179" i="1"/>
  <c r="H216" i="1"/>
  <c r="H160" i="1"/>
  <c r="H214" i="1" s="1"/>
  <c r="F214" i="1"/>
  <c r="M140" i="1"/>
  <c r="AD189" i="1"/>
  <c r="AC188" i="1"/>
  <c r="G139" i="1"/>
  <c r="G253" i="1" s="1"/>
  <c r="AC101" i="1"/>
  <c r="F137" i="1"/>
  <c r="G203" i="1"/>
  <c r="G221" i="1" s="1"/>
  <c r="AB114" i="1"/>
  <c r="O193" i="1"/>
  <c r="O194" i="1"/>
  <c r="G129" i="1"/>
  <c r="H194" i="1"/>
  <c r="O175" i="1"/>
  <c r="N175" i="1"/>
  <c r="L175" i="1"/>
  <c r="L129" i="1"/>
  <c r="S175" i="1"/>
  <c r="J194" i="1"/>
  <c r="M194" i="1"/>
  <c r="AC191" i="1"/>
  <c r="V151" i="1"/>
  <c r="V153" i="1" s="1"/>
  <c r="I125" i="1"/>
  <c r="I150" i="1"/>
  <c r="I149" i="1"/>
  <c r="I124" i="1"/>
  <c r="Q151" i="1"/>
  <c r="Q153" i="1" s="1"/>
  <c r="Q126" i="1"/>
  <c r="Q89" i="1"/>
  <c r="Y184" i="1"/>
  <c r="N185" i="1"/>
  <c r="Y186" i="1"/>
  <c r="S186" i="1"/>
  <c r="I168" i="1"/>
  <c r="H168" i="1"/>
  <c r="H222" i="1" s="1"/>
  <c r="H252" i="1" s="1"/>
  <c r="Z186" i="1"/>
  <c r="R202" i="1"/>
  <c r="N204" i="1"/>
  <c r="G168" i="1"/>
  <c r="P185" i="1"/>
  <c r="M184" i="1"/>
  <c r="R186" i="1"/>
  <c r="N202" i="1"/>
  <c r="K202" i="1"/>
  <c r="O204" i="1"/>
  <c r="L185" i="1"/>
  <c r="M185" i="1"/>
  <c r="L186" i="1"/>
  <c r="G166" i="1"/>
  <c r="G220" i="1" s="1"/>
  <c r="G250" i="1" s="1"/>
  <c r="H184" i="1"/>
  <c r="H220" i="1" s="1"/>
  <c r="H250" i="1" s="1"/>
  <c r="G186" i="1"/>
  <c r="D186" i="1"/>
  <c r="AB186" i="1" s="1"/>
  <c r="H185" i="1"/>
  <c r="AC185" i="1" s="1"/>
  <c r="H202" i="1"/>
  <c r="AC202" i="1" s="1"/>
  <c r="AB141" i="1"/>
  <c r="G349" i="19" s="1"/>
  <c r="D255" i="1"/>
  <c r="S139" i="1"/>
  <c r="J203" i="1"/>
  <c r="J204" i="1"/>
  <c r="I81" i="1"/>
  <c r="H80" i="1"/>
  <c r="H79" i="1"/>
  <c r="E163" i="1"/>
  <c r="E217" i="1" s="1"/>
  <c r="E164" i="1"/>
  <c r="E218" i="1" s="1"/>
  <c r="D165" i="1"/>
  <c r="G163" i="1"/>
  <c r="D164" i="1"/>
  <c r="D163" i="1"/>
  <c r="H164" i="1"/>
  <c r="H218" i="1" s="1"/>
  <c r="F163" i="1"/>
  <c r="F165" i="1"/>
  <c r="F164" i="1"/>
  <c r="G165" i="1"/>
  <c r="G219" i="1" s="1"/>
  <c r="I165" i="1"/>
  <c r="G164" i="1"/>
  <c r="G218" i="1" s="1"/>
  <c r="H165" i="1"/>
  <c r="H163" i="1"/>
  <c r="H217" i="1" s="1"/>
  <c r="J165" i="1"/>
  <c r="E165" i="1"/>
  <c r="E219" i="1" s="1"/>
  <c r="T7" i="1"/>
  <c r="T199" i="1" s="1"/>
  <c r="S112" i="1"/>
  <c r="S130" i="1" s="1"/>
  <c r="S118" i="1"/>
  <c r="S121" i="1"/>
  <c r="F210" i="1"/>
  <c r="AB103" i="1"/>
  <c r="Y175" i="1"/>
  <c r="J175" i="1"/>
  <c r="N194" i="1"/>
  <c r="R127" i="1"/>
  <c r="R177" i="1"/>
  <c r="K176" i="1"/>
  <c r="K129" i="1"/>
  <c r="AD93" i="1"/>
  <c r="G194" i="1"/>
  <c r="V175" i="1"/>
  <c r="V177" i="1"/>
  <c r="G151" i="1"/>
  <c r="G153" i="1" s="1"/>
  <c r="G126" i="1"/>
  <c r="G124" i="1"/>
  <c r="G149" i="1"/>
  <c r="Y88" i="1"/>
  <c r="W151" i="1"/>
  <c r="W153" i="1" s="1"/>
  <c r="D136" i="1"/>
  <c r="AB100" i="1"/>
  <c r="N136" i="1"/>
  <c r="AB121" i="1"/>
  <c r="F204" i="1"/>
  <c r="AC120" i="1"/>
  <c r="I137" i="1"/>
  <c r="Y94" i="1"/>
  <c r="M138" i="1"/>
  <c r="O405" i="19"/>
  <c r="O406" i="19" s="1"/>
  <c r="C412" i="19" s="1"/>
  <c r="H382" i="1" l="1"/>
  <c r="G312" i="1"/>
  <c r="E312" i="1"/>
  <c r="F312" i="1"/>
  <c r="G360" i="1"/>
  <c r="H360" i="1"/>
  <c r="J419" i="1"/>
  <c r="I400" i="1"/>
  <c r="H384" i="1"/>
  <c r="AD172" i="1"/>
  <c r="I387" i="1"/>
  <c r="H387" i="1"/>
  <c r="H377" i="1"/>
  <c r="AB136" i="1"/>
  <c r="G240" i="1"/>
  <c r="G144" i="1"/>
  <c r="G145" i="1" s="1"/>
  <c r="F219" i="1"/>
  <c r="AC165" i="1"/>
  <c r="AB164" i="1"/>
  <c r="D218" i="1"/>
  <c r="AB218" i="1" s="1"/>
  <c r="G222" i="1"/>
  <c r="Q144" i="1"/>
  <c r="Q145" i="1" s="1"/>
  <c r="F244" i="1"/>
  <c r="J143" i="1"/>
  <c r="AC150" i="1"/>
  <c r="N8" i="1"/>
  <c r="T113" i="1"/>
  <c r="U11" i="1"/>
  <c r="T191" i="1"/>
  <c r="T197" i="1"/>
  <c r="T206" i="1"/>
  <c r="T122" i="1"/>
  <c r="T203" i="1"/>
  <c r="T110" i="1"/>
  <c r="T119" i="1"/>
  <c r="T107" i="1"/>
  <c r="T194" i="1"/>
  <c r="D228" i="1"/>
  <c r="AB210" i="1"/>
  <c r="B364" i="19" s="1"/>
  <c r="E310" i="1"/>
  <c r="F310" i="1"/>
  <c r="H310" i="1"/>
  <c r="G310" i="1"/>
  <c r="D134" i="1"/>
  <c r="AB98" i="1"/>
  <c r="AC97" i="1"/>
  <c r="F133" i="1"/>
  <c r="K152" i="1"/>
  <c r="O144" i="1"/>
  <c r="O145" i="1" s="1"/>
  <c r="AC194" i="1"/>
  <c r="G244" i="1"/>
  <c r="AC130" i="1"/>
  <c r="I76" i="1"/>
  <c r="I70" i="1"/>
  <c r="J4" i="1"/>
  <c r="I85" i="1"/>
  <c r="I82" i="1"/>
  <c r="I154" i="1"/>
  <c r="I208" i="1" s="1"/>
  <c r="I226" i="1" s="1"/>
  <c r="I166" i="1"/>
  <c r="I220" i="1" s="1"/>
  <c r="I250" i="1" s="1"/>
  <c r="I79" i="1"/>
  <c r="I73" i="1"/>
  <c r="I160" i="1"/>
  <c r="I169" i="1"/>
  <c r="S10" i="1"/>
  <c r="R101" i="1"/>
  <c r="R137" i="1" s="1"/>
  <c r="R104" i="1"/>
  <c r="R140" i="1" s="1"/>
  <c r="R95" i="1"/>
  <c r="R92" i="1"/>
  <c r="R128" i="1" s="1"/>
  <c r="R173" i="1"/>
  <c r="R188" i="1"/>
  <c r="R179" i="1"/>
  <c r="R185" i="1"/>
  <c r="R89" i="1"/>
  <c r="S142" i="1"/>
  <c r="I248" i="1"/>
  <c r="AC201" i="1"/>
  <c r="K135" i="1"/>
  <c r="AD99" i="1"/>
  <c r="AD183" i="1"/>
  <c r="D246" i="1"/>
  <c r="AB132" i="1"/>
  <c r="D349" i="19" s="1"/>
  <c r="G245" i="1"/>
  <c r="AC131" i="1"/>
  <c r="AC203" i="1"/>
  <c r="M143" i="1"/>
  <c r="R144" i="1"/>
  <c r="R145" i="1" s="1"/>
  <c r="F152" i="1"/>
  <c r="AC148" i="1"/>
  <c r="AC152" i="1" s="1"/>
  <c r="AC139" i="1"/>
  <c r="F253" i="1"/>
  <c r="J144" i="1"/>
  <c r="J145" i="1" s="1"/>
  <c r="AC149" i="1"/>
  <c r="E311" i="1"/>
  <c r="H134" i="1"/>
  <c r="H248" i="1" s="1"/>
  <c r="E249" i="1"/>
  <c r="E134" i="1"/>
  <c r="E248" i="1" s="1"/>
  <c r="T116" i="1"/>
  <c r="D244" i="1"/>
  <c r="AB130" i="1"/>
  <c r="K142" i="1"/>
  <c r="N143" i="1"/>
  <c r="O142" i="1"/>
  <c r="I397" i="1"/>
  <c r="J397" i="1"/>
  <c r="H385" i="1"/>
  <c r="P142" i="1"/>
  <c r="S144" i="1"/>
  <c r="S145" i="1" s="1"/>
  <c r="F250" i="1"/>
  <c r="AC136" i="1"/>
  <c r="D298" i="1"/>
  <c r="E298" i="1"/>
  <c r="D276" i="1"/>
  <c r="E276" i="1"/>
  <c r="F213" i="1"/>
  <c r="AC159" i="1"/>
  <c r="G212" i="1"/>
  <c r="G242" i="1" s="1"/>
  <c r="E212" i="1"/>
  <c r="E242" i="1" s="1"/>
  <c r="G249" i="1"/>
  <c r="E320" i="1"/>
  <c r="Z100" i="1"/>
  <c r="Z94" i="1"/>
  <c r="Z103" i="1"/>
  <c r="Z184" i="1"/>
  <c r="AD184" i="1" s="1"/>
  <c r="Z91" i="1"/>
  <c r="Z187" i="1"/>
  <c r="AD187" i="1" s="1"/>
  <c r="Z88" i="1"/>
  <c r="Z178" i="1"/>
  <c r="AD178" i="1" s="1"/>
  <c r="Z172" i="1"/>
  <c r="AC204" i="1"/>
  <c r="Y149" i="1"/>
  <c r="J219" i="1"/>
  <c r="H219" i="1"/>
  <c r="I219" i="1"/>
  <c r="F217" i="1"/>
  <c r="G217" i="1"/>
  <c r="F277" i="1"/>
  <c r="F299" i="1"/>
  <c r="D299" i="1"/>
  <c r="E299" i="1"/>
  <c r="H299" i="1"/>
  <c r="D277" i="1"/>
  <c r="AB277" i="1" s="1"/>
  <c r="E277" i="1"/>
  <c r="H277" i="1"/>
  <c r="I299" i="1"/>
  <c r="I222" i="1"/>
  <c r="I252" i="1" s="1"/>
  <c r="I143" i="1"/>
  <c r="G363" i="1"/>
  <c r="H363" i="1"/>
  <c r="L135" i="1"/>
  <c r="D133" i="1"/>
  <c r="AB97" i="1"/>
  <c r="F135" i="1"/>
  <c r="AC99" i="1"/>
  <c r="AB150" i="1"/>
  <c r="AB175" i="1"/>
  <c r="T114" i="1"/>
  <c r="U15" i="1"/>
  <c r="T108" i="1"/>
  <c r="T204" i="1"/>
  <c r="T120" i="1"/>
  <c r="T138" i="1" s="1"/>
  <c r="T207" i="1"/>
  <c r="T192" i="1"/>
  <c r="T198" i="1"/>
  <c r="T111" i="1"/>
  <c r="T123" i="1"/>
  <c r="T141" i="1" s="1"/>
  <c r="F144" i="1"/>
  <c r="AC126" i="1"/>
  <c r="B350" i="19" s="1"/>
  <c r="F240" i="1"/>
  <c r="H142" i="1"/>
  <c r="T195" i="1"/>
  <c r="I135" i="1"/>
  <c r="I249" i="1" s="1"/>
  <c r="AC200" i="1"/>
  <c r="K134" i="1"/>
  <c r="AB201" i="1"/>
  <c r="AB199" i="1"/>
  <c r="M134" i="1"/>
  <c r="E319" i="1"/>
  <c r="G319" i="1"/>
  <c r="H319" i="1"/>
  <c r="F319" i="1"/>
  <c r="E144" i="1"/>
  <c r="E145" i="1" s="1"/>
  <c r="E240" i="1"/>
  <c r="H386" i="1"/>
  <c r="G239" i="1"/>
  <c r="G143" i="1"/>
  <c r="AD175" i="1"/>
  <c r="G252" i="1"/>
  <c r="D220" i="1"/>
  <c r="AB166" i="1"/>
  <c r="E221" i="1"/>
  <c r="E251" i="1" s="1"/>
  <c r="AC184" i="1"/>
  <c r="AB216" i="1"/>
  <c r="D364" i="19" s="1"/>
  <c r="L142" i="1"/>
  <c r="AC127" i="1"/>
  <c r="R135" i="1"/>
  <c r="R182" i="1"/>
  <c r="Q134" i="1"/>
  <c r="J249" i="1"/>
  <c r="H133" i="1"/>
  <c r="H247" i="1" s="1"/>
  <c r="AC132" i="1"/>
  <c r="D350" i="19" s="1"/>
  <c r="E143" i="1"/>
  <c r="E239" i="1"/>
  <c r="AB128" i="1"/>
  <c r="M142" i="1"/>
  <c r="D253" i="1"/>
  <c r="AB137" i="1"/>
  <c r="D251" i="1"/>
  <c r="Q142" i="1"/>
  <c r="F254" i="1"/>
  <c r="F276" i="1" s="1"/>
  <c r="AC140" i="1"/>
  <c r="AB140" i="1"/>
  <c r="D252" i="1"/>
  <c r="AB138" i="1"/>
  <c r="F349" i="19" s="1"/>
  <c r="J142" i="1"/>
  <c r="AC176" i="1"/>
  <c r="H211" i="1"/>
  <c r="H241" i="1" s="1"/>
  <c r="I157" i="1"/>
  <c r="I211" i="1" s="1"/>
  <c r="I241" i="1" s="1"/>
  <c r="F211" i="1"/>
  <c r="O135" i="1"/>
  <c r="G247" i="1"/>
  <c r="Z97" i="1"/>
  <c r="P133" i="1"/>
  <c r="AB151" i="1"/>
  <c r="AB153" i="1" s="1"/>
  <c r="D153" i="1"/>
  <c r="AB127" i="1"/>
  <c r="D219" i="1"/>
  <c r="AB219" i="1" s="1"/>
  <c r="E364" i="19" s="1"/>
  <c r="AB165" i="1"/>
  <c r="G359" i="19"/>
  <c r="G369" i="19"/>
  <c r="I142" i="1"/>
  <c r="I238" i="1"/>
  <c r="H239" i="1"/>
  <c r="H143" i="1"/>
  <c r="D143" i="1"/>
  <c r="AB143" i="1" s="1"/>
  <c r="AB125" i="1"/>
  <c r="D239" i="1"/>
  <c r="K143" i="1"/>
  <c r="N144" i="1"/>
  <c r="N145" i="1" s="1"/>
  <c r="O143" i="1"/>
  <c r="H208" i="1"/>
  <c r="H238" i="1" s="1"/>
  <c r="AD177" i="1"/>
  <c r="F245" i="1"/>
  <c r="F153" i="1"/>
  <c r="AC151" i="1"/>
  <c r="AC153" i="1" s="1"/>
  <c r="D152" i="1"/>
  <c r="AB148" i="1"/>
  <c r="AB152" i="1" s="1"/>
  <c r="AC116" i="1"/>
  <c r="AD181" i="1"/>
  <c r="AB115" i="1"/>
  <c r="I71" i="1"/>
  <c r="J20" i="1"/>
  <c r="I77" i="1"/>
  <c r="I86" i="1"/>
  <c r="I155" i="1"/>
  <c r="I161" i="1"/>
  <c r="I215" i="1" s="1"/>
  <c r="I245" i="1" s="1"/>
  <c r="I74" i="1"/>
  <c r="I80" i="1"/>
  <c r="I83" i="1"/>
  <c r="I170" i="1"/>
  <c r="D142" i="1"/>
  <c r="AB124" i="1"/>
  <c r="D238" i="1"/>
  <c r="H376" i="1"/>
  <c r="P144" i="1"/>
  <c r="P145" i="1" s="1"/>
  <c r="M144" i="1"/>
  <c r="M145" i="1" s="1"/>
  <c r="R142" i="1"/>
  <c r="AC186" i="1"/>
  <c r="F255" i="1"/>
  <c r="AC141" i="1"/>
  <c r="G350" i="19" s="1"/>
  <c r="H144" i="1"/>
  <c r="H145" i="1" s="1"/>
  <c r="H240" i="1"/>
  <c r="L144" i="1"/>
  <c r="L145" i="1" s="1"/>
  <c r="Q133" i="1"/>
  <c r="AB131" i="1"/>
  <c r="D245" i="1"/>
  <c r="F334" i="1"/>
  <c r="G334" i="1"/>
  <c r="K153" i="1"/>
  <c r="AD151" i="1"/>
  <c r="AD153" i="1" s="1"/>
  <c r="E142" i="1"/>
  <c r="E238" i="1"/>
  <c r="AC193" i="1"/>
  <c r="P143" i="1"/>
  <c r="F221" i="1"/>
  <c r="I240" i="1"/>
  <c r="I144" i="1"/>
  <c r="I145" i="1" s="1"/>
  <c r="AC138" i="1"/>
  <c r="F350" i="19" s="1"/>
  <c r="F252" i="1"/>
  <c r="G318" i="1" s="1"/>
  <c r="G365" i="1"/>
  <c r="I365" i="1"/>
  <c r="H365" i="1"/>
  <c r="L143" i="1"/>
  <c r="I158" i="1"/>
  <c r="I212" i="1" s="1"/>
  <c r="I242" i="1" s="1"/>
  <c r="E211" i="1"/>
  <c r="E241" i="1" s="1"/>
  <c r="H212" i="1"/>
  <c r="H242" i="1" s="1"/>
  <c r="F212" i="1"/>
  <c r="E213" i="1"/>
  <c r="E243" i="1" s="1"/>
  <c r="G248" i="1"/>
  <c r="G238" i="1"/>
  <c r="G142" i="1"/>
  <c r="F228" i="1"/>
  <c r="AC210" i="1"/>
  <c r="B365" i="19" s="1"/>
  <c r="U7" i="1"/>
  <c r="T112" i="1"/>
  <c r="T118" i="1"/>
  <c r="T196" i="1"/>
  <c r="T121" i="1"/>
  <c r="T139" i="1" s="1"/>
  <c r="T106" i="1"/>
  <c r="T190" i="1"/>
  <c r="T205" i="1"/>
  <c r="T202" i="1"/>
  <c r="T109" i="1"/>
  <c r="I163" i="1"/>
  <c r="I217" i="1" s="1"/>
  <c r="F218" i="1"/>
  <c r="AB163" i="1"/>
  <c r="D217" i="1"/>
  <c r="AB217" i="1" s="1"/>
  <c r="I167" i="1"/>
  <c r="Q125" i="1"/>
  <c r="Q150" i="1"/>
  <c r="F251" i="1"/>
  <c r="AC137" i="1"/>
  <c r="F143" i="1"/>
  <c r="AC143" i="1" s="1"/>
  <c r="AC125" i="1"/>
  <c r="F239" i="1"/>
  <c r="F227" i="1"/>
  <c r="D135" i="1"/>
  <c r="AB99" i="1"/>
  <c r="AC182" i="1"/>
  <c r="F134" i="1"/>
  <c r="AC98" i="1"/>
  <c r="H221" i="1"/>
  <c r="H251" i="1" s="1"/>
  <c r="AB214" i="1"/>
  <c r="AC175" i="1"/>
  <c r="I133" i="1"/>
  <c r="I247" i="1" s="1"/>
  <c r="AC115" i="1"/>
  <c r="AC117" i="1"/>
  <c r="K133" i="1"/>
  <c r="AB116" i="1"/>
  <c r="M133" i="1"/>
  <c r="I210" i="1"/>
  <c r="I228" i="1" s="1"/>
  <c r="I229" i="1" s="1"/>
  <c r="AC156" i="1"/>
  <c r="K24" i="1"/>
  <c r="J72" i="1"/>
  <c r="AC72" i="1" s="1"/>
  <c r="B355" i="19" s="1"/>
  <c r="J78" i="1"/>
  <c r="AC78" i="1" s="1"/>
  <c r="D355" i="19" s="1"/>
  <c r="J87" i="1"/>
  <c r="AC87" i="1" s="1"/>
  <c r="G355" i="19" s="1"/>
  <c r="J156" i="1"/>
  <c r="J210" i="1" s="1"/>
  <c r="J81" i="1"/>
  <c r="AC81" i="1" s="1"/>
  <c r="E355" i="19" s="1"/>
  <c r="J168" i="1"/>
  <c r="J162" i="1"/>
  <c r="J84" i="1"/>
  <c r="AC84" i="1" s="1"/>
  <c r="F355" i="19" s="1"/>
  <c r="J75" i="1"/>
  <c r="AC75" i="1" s="1"/>
  <c r="C355" i="19" s="1"/>
  <c r="J171" i="1"/>
  <c r="H318" i="1"/>
  <c r="E318" i="1"/>
  <c r="G364" i="1"/>
  <c r="H364" i="1"/>
  <c r="F142" i="1"/>
  <c r="AC142" i="1" s="1"/>
  <c r="AC124" i="1"/>
  <c r="F238" i="1"/>
  <c r="F243" i="1"/>
  <c r="AC129" i="1"/>
  <c r="C350" i="19" s="1"/>
  <c r="T193" i="1"/>
  <c r="R98" i="1"/>
  <c r="R134" i="1" s="1"/>
  <c r="Q135" i="1"/>
  <c r="J133" i="1"/>
  <c r="J134" i="1"/>
  <c r="H135" i="1"/>
  <c r="H249" i="1" s="1"/>
  <c r="E133" i="1"/>
  <c r="E247" i="1" s="1"/>
  <c r="T201" i="1"/>
  <c r="T200" i="1"/>
  <c r="K144" i="1"/>
  <c r="AB129" i="1"/>
  <c r="C349" i="19" s="1"/>
  <c r="D243" i="1"/>
  <c r="R176" i="1"/>
  <c r="AB209" i="1"/>
  <c r="D227" i="1"/>
  <c r="AB227" i="1" s="1"/>
  <c r="G251" i="1"/>
  <c r="P12" i="1"/>
  <c r="H246" i="1"/>
  <c r="AC128" i="1"/>
  <c r="G213" i="1"/>
  <c r="G243" i="1" s="1"/>
  <c r="AB158" i="1"/>
  <c r="D212" i="1"/>
  <c r="D211" i="1"/>
  <c r="AB211" i="1" s="1"/>
  <c r="AB157" i="1"/>
  <c r="H213" i="1"/>
  <c r="H243" i="1" s="1"/>
  <c r="D213" i="1"/>
  <c r="AB159" i="1"/>
  <c r="G211" i="1"/>
  <c r="G241" i="1" s="1"/>
  <c r="P135" i="1"/>
  <c r="AD94" i="1"/>
  <c r="H321" i="1"/>
  <c r="E321" i="1"/>
  <c r="F321" i="1"/>
  <c r="G321" i="1"/>
  <c r="I321" i="1"/>
  <c r="AB126" i="1"/>
  <c r="B349" i="19" s="1"/>
  <c r="D240" i="1"/>
  <c r="D144" i="1"/>
  <c r="N142" i="1"/>
  <c r="H353" i="1" l="1"/>
  <c r="J353" i="1"/>
  <c r="I353" i="1"/>
  <c r="G353" i="1"/>
  <c r="I406" i="1"/>
  <c r="J384" i="1"/>
  <c r="I384" i="1"/>
  <c r="H370" i="1"/>
  <c r="H388" i="1" s="1"/>
  <c r="I370" i="1"/>
  <c r="I388" i="1" s="1"/>
  <c r="H256" i="1"/>
  <c r="H383" i="1"/>
  <c r="I374" i="1"/>
  <c r="H374" i="1"/>
  <c r="I404" i="1"/>
  <c r="I382" i="1"/>
  <c r="I360" i="1"/>
  <c r="H375" i="1"/>
  <c r="J375" i="1"/>
  <c r="I375" i="1"/>
  <c r="G361" i="1"/>
  <c r="H361" i="1"/>
  <c r="C359" i="19"/>
  <c r="I381" i="1"/>
  <c r="H381" i="1"/>
  <c r="J381" i="1"/>
  <c r="F256" i="1"/>
  <c r="G326" i="1"/>
  <c r="G344" i="1" s="1"/>
  <c r="I326" i="1"/>
  <c r="I344" i="1" s="1"/>
  <c r="H326" i="1"/>
  <c r="H344" i="1" s="1"/>
  <c r="F326" i="1"/>
  <c r="F344" i="1" s="1"/>
  <c r="J216" i="1"/>
  <c r="AC162" i="1"/>
  <c r="I401" i="1"/>
  <c r="Q143" i="1"/>
  <c r="T127" i="1"/>
  <c r="T146" i="1"/>
  <c r="T124" i="1"/>
  <c r="T130" i="1"/>
  <c r="D267" i="1"/>
  <c r="E289" i="1"/>
  <c r="G267" i="1"/>
  <c r="F289" i="1"/>
  <c r="G289" i="1"/>
  <c r="E267" i="1"/>
  <c r="H289" i="1"/>
  <c r="I267" i="1"/>
  <c r="D289" i="1"/>
  <c r="F267" i="1"/>
  <c r="H267" i="1"/>
  <c r="I289" i="1"/>
  <c r="I224" i="1"/>
  <c r="J399" i="1"/>
  <c r="I399" i="1"/>
  <c r="J377" i="1"/>
  <c r="K20" i="1"/>
  <c r="J155" i="1"/>
  <c r="J209" i="1" s="1"/>
  <c r="J71" i="1"/>
  <c r="AC71" i="1" s="1"/>
  <c r="J86" i="1"/>
  <c r="AC86" i="1" s="1"/>
  <c r="J77" i="1"/>
  <c r="J170" i="1"/>
  <c r="J224" i="1" s="1"/>
  <c r="J254" i="1" s="1"/>
  <c r="J83" i="1"/>
  <c r="J80" i="1"/>
  <c r="AC80" i="1" s="1"/>
  <c r="J161" i="1"/>
  <c r="J215" i="1" s="1"/>
  <c r="J245" i="1" s="1"/>
  <c r="J74" i="1"/>
  <c r="AC74" i="1" s="1"/>
  <c r="J158" i="1"/>
  <c r="J167" i="1"/>
  <c r="J221" i="1" s="1"/>
  <c r="J251" i="1" s="1"/>
  <c r="J164" i="1"/>
  <c r="F333" i="1"/>
  <c r="I333" i="1"/>
  <c r="H333" i="1"/>
  <c r="G333" i="1"/>
  <c r="D275" i="1"/>
  <c r="AB275" i="1" s="1"/>
  <c r="D297" i="1"/>
  <c r="F297" i="1"/>
  <c r="E297" i="1"/>
  <c r="F275" i="1"/>
  <c r="H297" i="1"/>
  <c r="G275" i="1"/>
  <c r="G297" i="1"/>
  <c r="H275" i="1"/>
  <c r="E275" i="1"/>
  <c r="E305" i="1"/>
  <c r="E323" i="1" s="1"/>
  <c r="G305" i="1"/>
  <c r="G323" i="1" s="1"/>
  <c r="F305" i="1"/>
  <c r="F323" i="1" s="1"/>
  <c r="E257" i="1"/>
  <c r="H305" i="1"/>
  <c r="H323" i="1" s="1"/>
  <c r="G362" i="1"/>
  <c r="I362" i="1"/>
  <c r="H362" i="1"/>
  <c r="AC144" i="1"/>
  <c r="F145" i="1"/>
  <c r="V15" i="1"/>
  <c r="U120" i="1"/>
  <c r="U138" i="1" s="1"/>
  <c r="U114" i="1"/>
  <c r="U132" i="1" s="1"/>
  <c r="U111" i="1"/>
  <c r="U129" i="1" s="1"/>
  <c r="U207" i="1"/>
  <c r="U192" i="1"/>
  <c r="U108" i="1"/>
  <c r="U198" i="1"/>
  <c r="U204" i="1"/>
  <c r="U123" i="1"/>
  <c r="U141" i="1" s="1"/>
  <c r="U201" i="1"/>
  <c r="U195" i="1"/>
  <c r="U117" i="1"/>
  <c r="AB133" i="1"/>
  <c r="D247" i="1"/>
  <c r="H320" i="1"/>
  <c r="F320" i="1"/>
  <c r="J359" i="1"/>
  <c r="I359" i="1"/>
  <c r="G359" i="1"/>
  <c r="H359" i="1"/>
  <c r="G276" i="1"/>
  <c r="G338" i="1"/>
  <c r="H338" i="1"/>
  <c r="I338" i="1"/>
  <c r="F338" i="1"/>
  <c r="H316" i="1"/>
  <c r="G316" i="1"/>
  <c r="I316" i="1"/>
  <c r="F316" i="1"/>
  <c r="F311" i="1"/>
  <c r="I355" i="1"/>
  <c r="H355" i="1"/>
  <c r="J355" i="1"/>
  <c r="G355" i="1"/>
  <c r="R125" i="1"/>
  <c r="R150" i="1"/>
  <c r="I223" i="1"/>
  <c r="J76" i="1"/>
  <c r="AC76" i="1" s="1"/>
  <c r="J70" i="1"/>
  <c r="AC70" i="1" s="1"/>
  <c r="K4" i="1"/>
  <c r="J85" i="1"/>
  <c r="AC85" i="1" s="1"/>
  <c r="J154" i="1"/>
  <c r="J82" i="1"/>
  <c r="J169" i="1"/>
  <c r="J223" i="1" s="1"/>
  <c r="J253" i="1" s="1"/>
  <c r="J160" i="1"/>
  <c r="J214" i="1" s="1"/>
  <c r="J244" i="1" s="1"/>
  <c r="J79" i="1"/>
  <c r="AC79" i="1" s="1"/>
  <c r="J166" i="1"/>
  <c r="J220" i="1" s="1"/>
  <c r="J73" i="1"/>
  <c r="AC73" i="1" s="1"/>
  <c r="J163" i="1"/>
  <c r="J157" i="1"/>
  <c r="D229" i="1"/>
  <c r="AB228" i="1"/>
  <c r="AB229" i="1" s="1"/>
  <c r="I377" i="1"/>
  <c r="D145" i="1"/>
  <c r="AB144" i="1"/>
  <c r="AB213" i="1"/>
  <c r="C364" i="19" s="1"/>
  <c r="C369" i="19" s="1"/>
  <c r="AB212" i="1"/>
  <c r="F242" i="1"/>
  <c r="Q12" i="1"/>
  <c r="I318" i="1"/>
  <c r="F318" i="1"/>
  <c r="J225" i="1"/>
  <c r="AC171" i="1"/>
  <c r="J222" i="1"/>
  <c r="J252" i="1" s="1"/>
  <c r="J406" i="1" s="1"/>
  <c r="AC168" i="1"/>
  <c r="F248" i="1"/>
  <c r="AC134" i="1"/>
  <c r="V7" i="1"/>
  <c r="U118" i="1"/>
  <c r="U136" i="1" s="1"/>
  <c r="U121" i="1"/>
  <c r="U139" i="1" s="1"/>
  <c r="U106" i="1"/>
  <c r="U112" i="1"/>
  <c r="U130" i="1" s="1"/>
  <c r="U196" i="1"/>
  <c r="U109" i="1"/>
  <c r="U127" i="1" s="1"/>
  <c r="U205" i="1"/>
  <c r="U202" i="1"/>
  <c r="U190" i="1"/>
  <c r="U199" i="1"/>
  <c r="U193" i="1"/>
  <c r="U115" i="1"/>
  <c r="G256" i="1"/>
  <c r="I348" i="1"/>
  <c r="I366" i="1" s="1"/>
  <c r="G348" i="1"/>
  <c r="G366" i="1" s="1"/>
  <c r="H348" i="1"/>
  <c r="H366" i="1" s="1"/>
  <c r="I372" i="1"/>
  <c r="I390" i="1" s="1"/>
  <c r="I391" i="1" s="1"/>
  <c r="I528" i="1" s="1"/>
  <c r="H258" i="1"/>
  <c r="H259" i="1" s="1"/>
  <c r="H372" i="1"/>
  <c r="H390" i="1" s="1"/>
  <c r="H391" i="1" s="1"/>
  <c r="H528" i="1" s="1"/>
  <c r="D282" i="1"/>
  <c r="D300" i="1" s="1"/>
  <c r="F282" i="1"/>
  <c r="F300" i="1" s="1"/>
  <c r="D260" i="1"/>
  <c r="D256" i="1"/>
  <c r="F260" i="1"/>
  <c r="G282" i="1"/>
  <c r="G300" i="1" s="1"/>
  <c r="E282" i="1"/>
  <c r="E300" i="1" s="1"/>
  <c r="H260" i="1"/>
  <c r="H278" i="1" s="1"/>
  <c r="I260" i="1"/>
  <c r="I278" i="1" s="1"/>
  <c r="E260" i="1"/>
  <c r="E278" i="1" s="1"/>
  <c r="G260" i="1"/>
  <c r="G278" i="1" s="1"/>
  <c r="I282" i="1"/>
  <c r="I300" i="1" s="1"/>
  <c r="H282" i="1"/>
  <c r="H300" i="1" s="1"/>
  <c r="AC83" i="1"/>
  <c r="I209" i="1"/>
  <c r="AC215" i="1"/>
  <c r="D283" i="1"/>
  <c r="D301" i="1" s="1"/>
  <c r="F283" i="1"/>
  <c r="F301" i="1" s="1"/>
  <c r="D257" i="1"/>
  <c r="E261" i="1"/>
  <c r="E279" i="1" s="1"/>
  <c r="D261" i="1"/>
  <c r="F261" i="1"/>
  <c r="G283" i="1"/>
  <c r="G301" i="1" s="1"/>
  <c r="G261" i="1"/>
  <c r="G279" i="1" s="1"/>
  <c r="H283" i="1"/>
  <c r="H301" i="1" s="1"/>
  <c r="H261" i="1"/>
  <c r="H279" i="1" s="1"/>
  <c r="E283" i="1"/>
  <c r="E301" i="1" s="1"/>
  <c r="I395" i="1"/>
  <c r="AC166" i="1"/>
  <c r="D242" i="1"/>
  <c r="I379" i="1"/>
  <c r="H379" i="1"/>
  <c r="E317" i="1"/>
  <c r="G317" i="1"/>
  <c r="F317" i="1"/>
  <c r="H317" i="1"/>
  <c r="G349" i="1"/>
  <c r="G367" i="1" s="1"/>
  <c r="H349" i="1"/>
  <c r="H367" i="1" s="1"/>
  <c r="G257" i="1"/>
  <c r="G306" i="1"/>
  <c r="G324" i="1" s="1"/>
  <c r="G325" i="1" s="1"/>
  <c r="G525" i="1" s="1"/>
  <c r="E306" i="1"/>
  <c r="E324" i="1" s="1"/>
  <c r="E325" i="1" s="1"/>
  <c r="E525" i="1" s="1"/>
  <c r="F306" i="1"/>
  <c r="F324" i="1" s="1"/>
  <c r="F325" i="1" s="1"/>
  <c r="F525" i="1" s="1"/>
  <c r="E258" i="1"/>
  <c r="E259" i="1" s="1"/>
  <c r="H306" i="1"/>
  <c r="H324" i="1" s="1"/>
  <c r="H325" i="1" s="1"/>
  <c r="H525" i="1" s="1"/>
  <c r="I306" i="1"/>
  <c r="I324" i="1" s="1"/>
  <c r="I325" i="1" s="1"/>
  <c r="I525" i="1" s="1"/>
  <c r="AB221" i="1"/>
  <c r="T129" i="1"/>
  <c r="T132" i="1"/>
  <c r="AC135" i="1"/>
  <c r="E350" i="19" s="1"/>
  <c r="F249" i="1"/>
  <c r="G299" i="1"/>
  <c r="Z149" i="1"/>
  <c r="AD149" i="1" s="1"/>
  <c r="AD88" i="1"/>
  <c r="AD103" i="1"/>
  <c r="AC213" i="1"/>
  <c r="C365" i="19" s="1"/>
  <c r="C370" i="19" s="1"/>
  <c r="H276" i="1"/>
  <c r="F298" i="1"/>
  <c r="AB276" i="1"/>
  <c r="E314" i="1"/>
  <c r="F314" i="1"/>
  <c r="I314" i="1"/>
  <c r="H314" i="1"/>
  <c r="G314" i="1"/>
  <c r="G311" i="1"/>
  <c r="D248" i="1"/>
  <c r="AB134" i="1"/>
  <c r="AC222" i="1"/>
  <c r="F365" i="19" s="1"/>
  <c r="D284" i="1"/>
  <c r="D302" i="1" s="1"/>
  <c r="D303" i="1" s="1"/>
  <c r="D524" i="1" s="1"/>
  <c r="D262" i="1"/>
  <c r="F262" i="1"/>
  <c r="G284" i="1"/>
  <c r="G302" i="1" s="1"/>
  <c r="G303" i="1" s="1"/>
  <c r="G524" i="1" s="1"/>
  <c r="F284" i="1"/>
  <c r="F302" i="1" s="1"/>
  <c r="F303" i="1" s="1"/>
  <c r="F524" i="1" s="1"/>
  <c r="G262" i="1"/>
  <c r="G280" i="1" s="1"/>
  <c r="G281" i="1" s="1"/>
  <c r="E284" i="1"/>
  <c r="E302" i="1" s="1"/>
  <c r="E303" i="1" s="1"/>
  <c r="E524" i="1" s="1"/>
  <c r="H262" i="1"/>
  <c r="H280" i="1" s="1"/>
  <c r="H281" i="1" s="1"/>
  <c r="D258" i="1"/>
  <c r="D259" i="1" s="1"/>
  <c r="I284" i="1"/>
  <c r="I302" i="1" s="1"/>
  <c r="I303" i="1" s="1"/>
  <c r="I524" i="1" s="1"/>
  <c r="I262" i="1"/>
  <c r="I280" i="1" s="1"/>
  <c r="I281" i="1" s="1"/>
  <c r="H284" i="1"/>
  <c r="H302" i="1" s="1"/>
  <c r="H303" i="1" s="1"/>
  <c r="H524" i="1" s="1"/>
  <c r="E262" i="1"/>
  <c r="E280" i="1" s="1"/>
  <c r="E281" i="1" s="1"/>
  <c r="H378" i="1"/>
  <c r="I378" i="1"/>
  <c r="H356" i="1"/>
  <c r="I356" i="1"/>
  <c r="I312" i="1"/>
  <c r="H312" i="1"/>
  <c r="C360" i="19"/>
  <c r="D249" i="1"/>
  <c r="AB135" i="1"/>
  <c r="E349" i="19" s="1"/>
  <c r="G327" i="1"/>
  <c r="G345" i="1" s="1"/>
  <c r="H327" i="1"/>
  <c r="H345" i="1" s="1"/>
  <c r="F327" i="1"/>
  <c r="F345" i="1" s="1"/>
  <c r="F257" i="1"/>
  <c r="G339" i="1"/>
  <c r="F339" i="1"/>
  <c r="H339" i="1"/>
  <c r="I221" i="1"/>
  <c r="I251" i="1" s="1"/>
  <c r="E309" i="1"/>
  <c r="G309" i="1"/>
  <c r="H309" i="1"/>
  <c r="F309" i="1"/>
  <c r="J309" i="1"/>
  <c r="I309" i="1"/>
  <c r="E307" i="1"/>
  <c r="J340" i="1"/>
  <c r="G340" i="1"/>
  <c r="I340" i="1"/>
  <c r="F340" i="1"/>
  <c r="H340" i="1"/>
  <c r="I334" i="1"/>
  <c r="G360" i="19"/>
  <c r="H226" i="1"/>
  <c r="H257" i="1"/>
  <c r="H371" i="1"/>
  <c r="H389" i="1" s="1"/>
  <c r="I256" i="1"/>
  <c r="I392" i="1"/>
  <c r="I410" i="1" s="1"/>
  <c r="D241" i="1"/>
  <c r="H373" i="1"/>
  <c r="I373" i="1"/>
  <c r="F369" i="19"/>
  <c r="F359" i="19"/>
  <c r="F342" i="1"/>
  <c r="H342" i="1"/>
  <c r="G342" i="1"/>
  <c r="D295" i="1"/>
  <c r="G273" i="1"/>
  <c r="I295" i="1"/>
  <c r="E295" i="1"/>
  <c r="G295" i="1"/>
  <c r="H295" i="1"/>
  <c r="H273" i="1"/>
  <c r="J273" i="1"/>
  <c r="F273" i="1"/>
  <c r="D273" i="1"/>
  <c r="F295" i="1"/>
  <c r="E273" i="1"/>
  <c r="D360" i="19"/>
  <c r="J425" i="1"/>
  <c r="J403" i="1"/>
  <c r="I403" i="1"/>
  <c r="G328" i="1"/>
  <c r="G346" i="1" s="1"/>
  <c r="G347" i="1" s="1"/>
  <c r="G526" i="1" s="1"/>
  <c r="F328" i="1"/>
  <c r="F346" i="1" s="1"/>
  <c r="F347" i="1" s="1"/>
  <c r="F526" i="1" s="1"/>
  <c r="F258" i="1"/>
  <c r="F259" i="1" s="1"/>
  <c r="H328" i="1"/>
  <c r="H346" i="1" s="1"/>
  <c r="H347" i="1" s="1"/>
  <c r="H526" i="1" s="1"/>
  <c r="I328" i="1"/>
  <c r="I346" i="1" s="1"/>
  <c r="I347" i="1" s="1"/>
  <c r="I526" i="1" s="1"/>
  <c r="AC161" i="1"/>
  <c r="E308" i="1"/>
  <c r="G308" i="1"/>
  <c r="H308" i="1"/>
  <c r="F308" i="1"/>
  <c r="H298" i="1"/>
  <c r="E315" i="1"/>
  <c r="I315" i="1"/>
  <c r="F315" i="1"/>
  <c r="H315" i="1"/>
  <c r="J315" i="1"/>
  <c r="H311" i="1"/>
  <c r="D359" i="19"/>
  <c r="D369" i="19"/>
  <c r="R131" i="1"/>
  <c r="AC82" i="1"/>
  <c r="AC133" i="1"/>
  <c r="F247" i="1"/>
  <c r="B359" i="19"/>
  <c r="B369" i="19"/>
  <c r="H351" i="1"/>
  <c r="I351" i="1"/>
  <c r="G351" i="1"/>
  <c r="E265" i="1"/>
  <c r="G265" i="1"/>
  <c r="I287" i="1"/>
  <c r="J265" i="1"/>
  <c r="D287" i="1"/>
  <c r="F265" i="1"/>
  <c r="J287" i="1"/>
  <c r="D265" i="1"/>
  <c r="AB265" i="1" s="1"/>
  <c r="I265" i="1"/>
  <c r="F287" i="1"/>
  <c r="H287" i="1"/>
  <c r="G287" i="1"/>
  <c r="H265" i="1"/>
  <c r="E287" i="1"/>
  <c r="K145" i="1"/>
  <c r="E313" i="1"/>
  <c r="I313" i="1"/>
  <c r="G313" i="1"/>
  <c r="F331" i="1"/>
  <c r="H331" i="1"/>
  <c r="I331" i="1"/>
  <c r="G331" i="1"/>
  <c r="J331" i="1"/>
  <c r="J228" i="1"/>
  <c r="J229" i="1" s="1"/>
  <c r="J240" i="1"/>
  <c r="J372" i="1" s="1"/>
  <c r="J390" i="1" s="1"/>
  <c r="J391" i="1" s="1"/>
  <c r="J528" i="1" s="1"/>
  <c r="K72" i="1"/>
  <c r="L24" i="1"/>
  <c r="K78" i="1"/>
  <c r="K156" i="1"/>
  <c r="K87" i="1"/>
  <c r="K84" i="1"/>
  <c r="K168" i="1"/>
  <c r="K171" i="1"/>
  <c r="K81" i="1"/>
  <c r="K162" i="1"/>
  <c r="K75" i="1"/>
  <c r="K159" i="1"/>
  <c r="K165" i="1"/>
  <c r="AD97" i="1"/>
  <c r="T136" i="1"/>
  <c r="AC228" i="1"/>
  <c r="AC229" i="1" s="1"/>
  <c r="F229" i="1"/>
  <c r="I358" i="1"/>
  <c r="G358" i="1"/>
  <c r="H358" i="1"/>
  <c r="I396" i="1"/>
  <c r="F360" i="19"/>
  <c r="F370" i="19"/>
  <c r="I394" i="1"/>
  <c r="I412" i="1" s="1"/>
  <c r="I413" i="1" s="1"/>
  <c r="I529" i="1" s="1"/>
  <c r="I258" i="1"/>
  <c r="I259" i="1" s="1"/>
  <c r="F304" i="1"/>
  <c r="F322" i="1" s="1"/>
  <c r="E304" i="1"/>
  <c r="E322" i="1" s="1"/>
  <c r="E256" i="1"/>
  <c r="H304" i="1"/>
  <c r="H322" i="1" s="1"/>
  <c r="I304" i="1"/>
  <c r="I322" i="1" s="1"/>
  <c r="G304" i="1"/>
  <c r="G322" i="1" s="1"/>
  <c r="H334" i="1"/>
  <c r="G343" i="1"/>
  <c r="F343" i="1"/>
  <c r="H343" i="1"/>
  <c r="I343" i="1"/>
  <c r="AB142" i="1"/>
  <c r="AB256" i="1" s="1"/>
  <c r="AC77" i="1"/>
  <c r="AB257" i="1"/>
  <c r="G357" i="1"/>
  <c r="I357" i="1"/>
  <c r="H357" i="1"/>
  <c r="D274" i="1"/>
  <c r="F296" i="1"/>
  <c r="H274" i="1"/>
  <c r="I274" i="1"/>
  <c r="J274" i="1"/>
  <c r="F274" i="1"/>
  <c r="H296" i="1"/>
  <c r="E296" i="1"/>
  <c r="G274" i="1"/>
  <c r="I296" i="1"/>
  <c r="J296" i="1"/>
  <c r="G296" i="1"/>
  <c r="D296" i="1"/>
  <c r="E274" i="1"/>
  <c r="F241" i="1"/>
  <c r="H307" i="1" s="1"/>
  <c r="AB220" i="1"/>
  <c r="D250" i="1"/>
  <c r="B360" i="19"/>
  <c r="B370" i="19"/>
  <c r="T148" i="1"/>
  <c r="T126" i="1"/>
  <c r="I277" i="1"/>
  <c r="G277" i="1"/>
  <c r="AD91" i="1"/>
  <c r="AD100" i="1"/>
  <c r="G320" i="1"/>
  <c r="H352" i="1"/>
  <c r="I352" i="1"/>
  <c r="G352" i="1"/>
  <c r="G298" i="1"/>
  <c r="D266" i="1"/>
  <c r="F266" i="1"/>
  <c r="E266" i="1"/>
  <c r="G288" i="1"/>
  <c r="G266" i="1"/>
  <c r="E288" i="1"/>
  <c r="F288" i="1"/>
  <c r="H266" i="1"/>
  <c r="H288" i="1"/>
  <c r="D288" i="1"/>
  <c r="I380" i="1"/>
  <c r="H380" i="1"/>
  <c r="I311" i="1"/>
  <c r="G341" i="1"/>
  <c r="F341" i="1"/>
  <c r="H341" i="1"/>
  <c r="D268" i="1"/>
  <c r="E268" i="1"/>
  <c r="E290" i="1"/>
  <c r="G290" i="1"/>
  <c r="I290" i="1"/>
  <c r="I268" i="1"/>
  <c r="F290" i="1"/>
  <c r="H268" i="1"/>
  <c r="D290" i="1"/>
  <c r="G268" i="1"/>
  <c r="F268" i="1"/>
  <c r="H290" i="1"/>
  <c r="I402" i="1"/>
  <c r="T10" i="1"/>
  <c r="S101" i="1"/>
  <c r="S89" i="1"/>
  <c r="S179" i="1"/>
  <c r="S104" i="1"/>
  <c r="S185" i="1"/>
  <c r="S173" i="1"/>
  <c r="S92" i="1"/>
  <c r="S95" i="1"/>
  <c r="S131" i="1" s="1"/>
  <c r="S188" i="1"/>
  <c r="S176" i="1"/>
  <c r="S182" i="1"/>
  <c r="S98" i="1"/>
  <c r="S134" i="1" s="1"/>
  <c r="I214" i="1"/>
  <c r="AC160" i="1"/>
  <c r="G354" i="1"/>
  <c r="H354" i="1"/>
  <c r="T147" i="1"/>
  <c r="V11" i="1"/>
  <c r="U119" i="1"/>
  <c r="U122" i="1"/>
  <c r="U191" i="1"/>
  <c r="U110" i="1"/>
  <c r="U206" i="1"/>
  <c r="U107" i="1"/>
  <c r="U147" i="1" s="1"/>
  <c r="U113" i="1"/>
  <c r="U203" i="1"/>
  <c r="U197" i="1"/>
  <c r="U116" i="1"/>
  <c r="U194" i="1"/>
  <c r="U200" i="1"/>
  <c r="O8" i="1"/>
  <c r="G332" i="1"/>
  <c r="H332" i="1"/>
  <c r="F332" i="1"/>
  <c r="AC219" i="1"/>
  <c r="E365" i="19" s="1"/>
  <c r="J350" i="1"/>
  <c r="J368" i="1" s="1"/>
  <c r="J369" i="1" s="1"/>
  <c r="J527" i="1" s="1"/>
  <c r="H350" i="1"/>
  <c r="H368" i="1" s="1"/>
  <c r="H369" i="1" s="1"/>
  <c r="H527" i="1" s="1"/>
  <c r="I350" i="1"/>
  <c r="I368" i="1" s="1"/>
  <c r="I369" i="1" s="1"/>
  <c r="I527" i="1" s="1"/>
  <c r="G350" i="1"/>
  <c r="G368" i="1" s="1"/>
  <c r="G369" i="1" s="1"/>
  <c r="G527" i="1" s="1"/>
  <c r="G258" i="1"/>
  <c r="G259" i="1" s="1"/>
  <c r="S140" i="1" l="1"/>
  <c r="W11" i="1"/>
  <c r="V119" i="1"/>
  <c r="V107" i="1"/>
  <c r="V147" i="1" s="1"/>
  <c r="V113" i="1"/>
  <c r="V122" i="1"/>
  <c r="V191" i="1"/>
  <c r="V203" i="1"/>
  <c r="V197" i="1"/>
  <c r="V206" i="1"/>
  <c r="V110" i="1"/>
  <c r="V194" i="1"/>
  <c r="V116" i="1"/>
  <c r="V200" i="1"/>
  <c r="S150" i="1"/>
  <c r="S125" i="1"/>
  <c r="E272" i="1"/>
  <c r="D294" i="1"/>
  <c r="H272" i="1"/>
  <c r="J272" i="1"/>
  <c r="D272" i="1"/>
  <c r="AB272" i="1" s="1"/>
  <c r="F294" i="1"/>
  <c r="I294" i="1"/>
  <c r="I272" i="1"/>
  <c r="E294" i="1"/>
  <c r="H294" i="1"/>
  <c r="F272" i="1"/>
  <c r="AC272" i="1" s="1"/>
  <c r="G294" i="1"/>
  <c r="G272" i="1"/>
  <c r="AC274" i="1"/>
  <c r="K216" i="1"/>
  <c r="M24" i="1"/>
  <c r="L78" i="1"/>
  <c r="L156" i="1"/>
  <c r="L210" i="1" s="1"/>
  <c r="L87" i="1"/>
  <c r="L72" i="1"/>
  <c r="L162" i="1"/>
  <c r="L216" i="1" s="1"/>
  <c r="L246" i="1" s="1"/>
  <c r="L75" i="1"/>
  <c r="L171" i="1"/>
  <c r="L225" i="1" s="1"/>
  <c r="L255" i="1" s="1"/>
  <c r="L81" i="1"/>
  <c r="L84" i="1"/>
  <c r="L159" i="1"/>
  <c r="L213" i="1" s="1"/>
  <c r="L243" i="1" s="1"/>
  <c r="L165" i="1"/>
  <c r="L219" i="1" s="1"/>
  <c r="L249" i="1" s="1"/>
  <c r="L168" i="1"/>
  <c r="L222" i="1" s="1"/>
  <c r="L252" i="1" s="1"/>
  <c r="AB273" i="1"/>
  <c r="E263" i="1"/>
  <c r="E285" i="1"/>
  <c r="D263" i="1"/>
  <c r="G263" i="1"/>
  <c r="I263" i="1"/>
  <c r="H285" i="1"/>
  <c r="D285" i="1"/>
  <c r="I285" i="1"/>
  <c r="F285" i="1"/>
  <c r="G285" i="1"/>
  <c r="H263" i="1"/>
  <c r="F263" i="1"/>
  <c r="F307" i="1"/>
  <c r="I405" i="1"/>
  <c r="J405" i="1"/>
  <c r="J339" i="1"/>
  <c r="E359" i="19"/>
  <c r="E369" i="19"/>
  <c r="J284" i="1"/>
  <c r="J302" i="1" s="1"/>
  <c r="J303" i="1" s="1"/>
  <c r="J524" i="1" s="1"/>
  <c r="D280" i="1"/>
  <c r="D281" i="1" s="1"/>
  <c r="AB262" i="1"/>
  <c r="D278" i="1"/>
  <c r="AB260" i="1"/>
  <c r="F330" i="1"/>
  <c r="H330" i="1"/>
  <c r="I330" i="1"/>
  <c r="G330" i="1"/>
  <c r="J211" i="1"/>
  <c r="AC157" i="1"/>
  <c r="J208" i="1"/>
  <c r="AC154" i="1"/>
  <c r="J427" i="1"/>
  <c r="I254" i="1"/>
  <c r="AC224" i="1"/>
  <c r="AC267" i="1"/>
  <c r="I361" i="1"/>
  <c r="J383" i="1"/>
  <c r="I244" i="1"/>
  <c r="AC214" i="1"/>
  <c r="S137" i="1"/>
  <c r="AB266" i="1"/>
  <c r="T144" i="1"/>
  <c r="AB274" i="1"/>
  <c r="K219" i="1"/>
  <c r="H313" i="1"/>
  <c r="J295" i="1"/>
  <c r="I339" i="1"/>
  <c r="D293" i="1"/>
  <c r="E271" i="1"/>
  <c r="F271" i="1"/>
  <c r="I293" i="1"/>
  <c r="I271" i="1"/>
  <c r="E293" i="1"/>
  <c r="F293" i="1"/>
  <c r="J293" i="1"/>
  <c r="H271" i="1"/>
  <c r="J271" i="1"/>
  <c r="D271" i="1"/>
  <c r="G293" i="1"/>
  <c r="G271" i="1"/>
  <c r="H293" i="1"/>
  <c r="I317" i="1"/>
  <c r="AC155" i="1"/>
  <c r="U133" i="1"/>
  <c r="W7" i="1"/>
  <c r="V118" i="1"/>
  <c r="V205" i="1"/>
  <c r="V202" i="1"/>
  <c r="V106" i="1"/>
  <c r="V121" i="1"/>
  <c r="V139" i="1" s="1"/>
  <c r="V190" i="1"/>
  <c r="V109" i="1"/>
  <c r="V196" i="1"/>
  <c r="V112" i="1"/>
  <c r="V193" i="1"/>
  <c r="V115" i="1"/>
  <c r="V133" i="1" s="1"/>
  <c r="V199" i="1"/>
  <c r="F336" i="1"/>
  <c r="H336" i="1"/>
  <c r="G336" i="1"/>
  <c r="I336" i="1"/>
  <c r="J255" i="1"/>
  <c r="AC225" i="1"/>
  <c r="G365" i="19" s="1"/>
  <c r="G370" i="19" s="1"/>
  <c r="J217" i="1"/>
  <c r="AC163" i="1"/>
  <c r="J420" i="1"/>
  <c r="AC169" i="1"/>
  <c r="U135" i="1"/>
  <c r="W15" i="1"/>
  <c r="V120" i="1"/>
  <c r="V192" i="1"/>
  <c r="V198" i="1"/>
  <c r="V111" i="1"/>
  <c r="V129" i="1" s="1"/>
  <c r="V114" i="1"/>
  <c r="V207" i="1"/>
  <c r="V123" i="1"/>
  <c r="V141" i="1" s="1"/>
  <c r="V108" i="1"/>
  <c r="V204" i="1"/>
  <c r="V201" i="1"/>
  <c r="V117" i="1"/>
  <c r="V135" i="1" s="1"/>
  <c r="V195" i="1"/>
  <c r="AC145" i="1"/>
  <c r="AC258" i="1"/>
  <c r="AC259" i="1" s="1"/>
  <c r="J362" i="1"/>
  <c r="J311" i="1"/>
  <c r="J333" i="1"/>
  <c r="J212" i="1"/>
  <c r="AC158" i="1"/>
  <c r="T142" i="1"/>
  <c r="J361" i="1"/>
  <c r="I383" i="1"/>
  <c r="J318" i="1"/>
  <c r="U10" i="1"/>
  <c r="T104" i="1"/>
  <c r="T140" i="1" s="1"/>
  <c r="T101" i="1"/>
  <c r="T137" i="1" s="1"/>
  <c r="T185" i="1"/>
  <c r="T89" i="1"/>
  <c r="T173" i="1"/>
  <c r="T176" i="1"/>
  <c r="T179" i="1"/>
  <c r="T188" i="1"/>
  <c r="T95" i="1"/>
  <c r="T131" i="1" s="1"/>
  <c r="T92" i="1"/>
  <c r="T128" i="1" s="1"/>
  <c r="T98" i="1"/>
  <c r="T134" i="1" s="1"/>
  <c r="T182" i="1"/>
  <c r="F329" i="1"/>
  <c r="I329" i="1"/>
  <c r="H329" i="1"/>
  <c r="G329" i="1"/>
  <c r="K213" i="1"/>
  <c r="K225" i="1"/>
  <c r="K210" i="1"/>
  <c r="J416" i="1"/>
  <c r="J434" i="1" s="1"/>
  <c r="J435" i="1" s="1"/>
  <c r="J530" i="1" s="1"/>
  <c r="J258" i="1"/>
  <c r="J259" i="1" s="1"/>
  <c r="F335" i="1"/>
  <c r="H335" i="1"/>
  <c r="G335" i="1"/>
  <c r="I335" i="1"/>
  <c r="J328" i="1"/>
  <c r="J346" i="1" s="1"/>
  <c r="J347" i="1" s="1"/>
  <c r="J526" i="1" s="1"/>
  <c r="G307" i="1"/>
  <c r="J262" i="1"/>
  <c r="J280" i="1" s="1"/>
  <c r="J281" i="1" s="1"/>
  <c r="D292" i="1"/>
  <c r="D270" i="1"/>
  <c r="AB270" i="1" s="1"/>
  <c r="H292" i="1"/>
  <c r="E292" i="1"/>
  <c r="G292" i="1"/>
  <c r="F270" i="1"/>
  <c r="H270" i="1"/>
  <c r="E270" i="1"/>
  <c r="F292" i="1"/>
  <c r="I270" i="1"/>
  <c r="I292" i="1"/>
  <c r="G270" i="1"/>
  <c r="F337" i="1"/>
  <c r="I337" i="1"/>
  <c r="H337" i="1"/>
  <c r="G337" i="1"/>
  <c r="J337" i="1"/>
  <c r="F279" i="1"/>
  <c r="I227" i="1"/>
  <c r="I239" i="1"/>
  <c r="AC209" i="1"/>
  <c r="F278" i="1"/>
  <c r="U146" i="1"/>
  <c r="U124" i="1"/>
  <c r="R12" i="1"/>
  <c r="J429" i="1"/>
  <c r="K76" i="1"/>
  <c r="L4" i="1"/>
  <c r="K70" i="1"/>
  <c r="K85" i="1"/>
  <c r="K154" i="1"/>
  <c r="K82" i="1"/>
  <c r="K79" i="1"/>
  <c r="K166" i="1"/>
  <c r="K73" i="1"/>
  <c r="K169" i="1"/>
  <c r="K160" i="1"/>
  <c r="K157" i="1"/>
  <c r="K163" i="1"/>
  <c r="I253" i="1"/>
  <c r="AC223" i="1"/>
  <c r="J430" i="1"/>
  <c r="J227" i="1"/>
  <c r="J239" i="1"/>
  <c r="AC216" i="1"/>
  <c r="D365" i="19" s="1"/>
  <c r="D370" i="19" s="1"/>
  <c r="J246" i="1"/>
  <c r="P8" i="1"/>
  <c r="S128" i="1"/>
  <c r="AB268" i="1"/>
  <c r="T152" i="1"/>
  <c r="J394" i="1"/>
  <c r="J412" i="1" s="1"/>
  <c r="J413" i="1" s="1"/>
  <c r="J529" i="1" s="1"/>
  <c r="K222" i="1"/>
  <c r="F313" i="1"/>
  <c r="AC265" i="1"/>
  <c r="G315" i="1"/>
  <c r="I308" i="1"/>
  <c r="I273" i="1"/>
  <c r="AC273" i="1" s="1"/>
  <c r="I307" i="1"/>
  <c r="AC167" i="1"/>
  <c r="F280" i="1"/>
  <c r="F281" i="1" s="1"/>
  <c r="AC262" i="1"/>
  <c r="E370" i="19"/>
  <c r="E360" i="19"/>
  <c r="J306" i="1"/>
  <c r="J324" i="1" s="1"/>
  <c r="J325" i="1" s="1"/>
  <c r="J525" i="1" s="1"/>
  <c r="J317" i="1"/>
  <c r="D286" i="1"/>
  <c r="H264" i="1"/>
  <c r="G264" i="1"/>
  <c r="H286" i="1"/>
  <c r="E264" i="1"/>
  <c r="F264" i="1"/>
  <c r="I264" i="1"/>
  <c r="F286" i="1"/>
  <c r="I286" i="1"/>
  <c r="D264" i="1"/>
  <c r="G286" i="1"/>
  <c r="E286" i="1"/>
  <c r="D279" i="1"/>
  <c r="AB261" i="1"/>
  <c r="AC221" i="1"/>
  <c r="J428" i="1"/>
  <c r="AB145" i="1"/>
  <c r="AB258" i="1"/>
  <c r="AB259" i="1" s="1"/>
  <c r="J250" i="1"/>
  <c r="AC220" i="1"/>
  <c r="R143" i="1"/>
  <c r="G269" i="1"/>
  <c r="F269" i="1"/>
  <c r="E291" i="1"/>
  <c r="D269" i="1"/>
  <c r="G291" i="1"/>
  <c r="I269" i="1"/>
  <c r="D291" i="1"/>
  <c r="I291" i="1"/>
  <c r="F291" i="1"/>
  <c r="H291" i="1"/>
  <c r="E269" i="1"/>
  <c r="H269" i="1"/>
  <c r="U148" i="1"/>
  <c r="U152" i="1" s="1"/>
  <c r="U126" i="1"/>
  <c r="J218" i="1"/>
  <c r="AC164" i="1"/>
  <c r="J421" i="1"/>
  <c r="L20" i="1"/>
  <c r="K80" i="1"/>
  <c r="K155" i="1"/>
  <c r="K161" i="1"/>
  <c r="K71" i="1"/>
  <c r="K86" i="1"/>
  <c r="K77" i="1"/>
  <c r="K74" i="1"/>
  <c r="K170" i="1"/>
  <c r="K83" i="1"/>
  <c r="K167" i="1"/>
  <c r="K164" i="1"/>
  <c r="K158" i="1"/>
  <c r="AC170" i="1"/>
  <c r="J289" i="1"/>
  <c r="J267" i="1"/>
  <c r="AB267" i="1"/>
  <c r="K224" i="1" l="1"/>
  <c r="K221" i="1"/>
  <c r="K209" i="1"/>
  <c r="U144" i="1"/>
  <c r="U145" i="1" s="1"/>
  <c r="AB269" i="1"/>
  <c r="K211" i="1"/>
  <c r="K220" i="1"/>
  <c r="I393" i="1"/>
  <c r="I411" i="1" s="1"/>
  <c r="I257" i="1"/>
  <c r="J393" i="1"/>
  <c r="J411" i="1" s="1"/>
  <c r="I305" i="1"/>
  <c r="I323" i="1" s="1"/>
  <c r="J283" i="1"/>
  <c r="J301" i="1" s="1"/>
  <c r="I349" i="1"/>
  <c r="I367" i="1" s="1"/>
  <c r="I327" i="1"/>
  <c r="I345" i="1" s="1"/>
  <c r="J371" i="1"/>
  <c r="J389" i="1" s="1"/>
  <c r="J305" i="1"/>
  <c r="J323" i="1" s="1"/>
  <c r="J261" i="1"/>
  <c r="J279" i="1" s="1"/>
  <c r="J327" i="1"/>
  <c r="J345" i="1" s="1"/>
  <c r="I371" i="1"/>
  <c r="I389" i="1" s="1"/>
  <c r="I261" i="1"/>
  <c r="I283" i="1"/>
  <c r="I301" i="1" s="1"/>
  <c r="J349" i="1"/>
  <c r="J367" i="1" s="1"/>
  <c r="V132" i="1"/>
  <c r="V138" i="1"/>
  <c r="J431" i="1"/>
  <c r="L409" i="1"/>
  <c r="J409" i="1"/>
  <c r="L387" i="1"/>
  <c r="J387" i="1"/>
  <c r="J321" i="1"/>
  <c r="K321" i="1"/>
  <c r="K387" i="1"/>
  <c r="K299" i="1"/>
  <c r="J277" i="1"/>
  <c r="AC277" i="1" s="1"/>
  <c r="J365" i="1"/>
  <c r="K365" i="1"/>
  <c r="K343" i="1"/>
  <c r="L277" i="1"/>
  <c r="J343" i="1"/>
  <c r="J299" i="1"/>
  <c r="AB271" i="1"/>
  <c r="J408" i="1"/>
  <c r="I408" i="1"/>
  <c r="J386" i="1"/>
  <c r="J364" i="1"/>
  <c r="I364" i="1"/>
  <c r="I386" i="1"/>
  <c r="I320" i="1"/>
  <c r="J342" i="1"/>
  <c r="I342" i="1"/>
  <c r="I276" i="1"/>
  <c r="J320" i="1"/>
  <c r="I298" i="1"/>
  <c r="J298" i="1"/>
  <c r="J276" i="1"/>
  <c r="J241" i="1"/>
  <c r="AC211" i="1"/>
  <c r="AB263" i="1"/>
  <c r="L469" i="1"/>
  <c r="L475" i="1"/>
  <c r="J248" i="1"/>
  <c r="AC218" i="1"/>
  <c r="Q8" i="1"/>
  <c r="K214" i="1"/>
  <c r="S12" i="1"/>
  <c r="AC227" i="1"/>
  <c r="AC257" i="1" s="1"/>
  <c r="K255" i="1"/>
  <c r="T125" i="1"/>
  <c r="T150" i="1"/>
  <c r="V10" i="1"/>
  <c r="U95" i="1"/>
  <c r="U131" i="1" s="1"/>
  <c r="U104" i="1"/>
  <c r="U140" i="1" s="1"/>
  <c r="U185" i="1"/>
  <c r="U188" i="1"/>
  <c r="U179" i="1"/>
  <c r="U92" i="1"/>
  <c r="U173" i="1"/>
  <c r="U89" i="1"/>
  <c r="U101" i="1"/>
  <c r="U137" i="1" s="1"/>
  <c r="U176" i="1"/>
  <c r="U98" i="1"/>
  <c r="U182" i="1"/>
  <c r="V148" i="1"/>
  <c r="V152" i="1" s="1"/>
  <c r="V126" i="1"/>
  <c r="X15" i="1"/>
  <c r="W207" i="1"/>
  <c r="W198" i="1"/>
  <c r="W114" i="1"/>
  <c r="W132" i="1" s="1"/>
  <c r="W120" i="1"/>
  <c r="W138" i="1" s="1"/>
  <c r="W123" i="1"/>
  <c r="W141" i="1" s="1"/>
  <c r="W192" i="1"/>
  <c r="W108" i="1"/>
  <c r="W111" i="1"/>
  <c r="W204" i="1"/>
  <c r="W117" i="1"/>
  <c r="W135" i="1" s="1"/>
  <c r="W195" i="1"/>
  <c r="W201" i="1"/>
  <c r="J247" i="1"/>
  <c r="AC217" i="1"/>
  <c r="V130" i="1"/>
  <c r="V136" i="1"/>
  <c r="AC271" i="1"/>
  <c r="K249" i="1"/>
  <c r="J398" i="1"/>
  <c r="I398" i="1"/>
  <c r="I376" i="1"/>
  <c r="I310" i="1"/>
  <c r="J376" i="1"/>
  <c r="J310" i="1"/>
  <c r="J266" i="1"/>
  <c r="J288" i="1"/>
  <c r="J354" i="1"/>
  <c r="I354" i="1"/>
  <c r="I332" i="1"/>
  <c r="I288" i="1"/>
  <c r="J332" i="1"/>
  <c r="I266" i="1"/>
  <c r="AC266" i="1" s="1"/>
  <c r="L463" i="1"/>
  <c r="L228" i="1"/>
  <c r="L229" i="1" s="1"/>
  <c r="L240" i="1"/>
  <c r="J294" i="1"/>
  <c r="X11" i="1"/>
  <c r="W113" i="1"/>
  <c r="W119" i="1"/>
  <c r="W206" i="1"/>
  <c r="W110" i="1"/>
  <c r="W122" i="1"/>
  <c r="W191" i="1"/>
  <c r="W107" i="1"/>
  <c r="W197" i="1"/>
  <c r="W203" i="1"/>
  <c r="W116" i="1"/>
  <c r="W200" i="1"/>
  <c r="W194" i="1"/>
  <c r="K212" i="1"/>
  <c r="M20" i="1"/>
  <c r="L74" i="1"/>
  <c r="L170" i="1"/>
  <c r="L224" i="1" s="1"/>
  <c r="L254" i="1" s="1"/>
  <c r="L167" i="1"/>
  <c r="L221" i="1" s="1"/>
  <c r="L251" i="1" s="1"/>
  <c r="L80" i="1"/>
  <c r="L161" i="1"/>
  <c r="L215" i="1" s="1"/>
  <c r="L245" i="1" s="1"/>
  <c r="L77" i="1"/>
  <c r="L155" i="1"/>
  <c r="L209" i="1" s="1"/>
  <c r="L71" i="1"/>
  <c r="L158" i="1"/>
  <c r="L212" i="1" s="1"/>
  <c r="L242" i="1" s="1"/>
  <c r="L83" i="1"/>
  <c r="L86" i="1"/>
  <c r="L164" i="1"/>
  <c r="L218" i="1" s="1"/>
  <c r="L248" i="1" s="1"/>
  <c r="J257" i="1"/>
  <c r="J415" i="1"/>
  <c r="J433" i="1" s="1"/>
  <c r="J407" i="1"/>
  <c r="I407" i="1"/>
  <c r="I385" i="1"/>
  <c r="J319" i="1"/>
  <c r="J385" i="1"/>
  <c r="I363" i="1"/>
  <c r="J363" i="1"/>
  <c r="I319" i="1"/>
  <c r="I275" i="1"/>
  <c r="AC275" i="1" s="1"/>
  <c r="I297" i="1"/>
  <c r="J275" i="1"/>
  <c r="J297" i="1"/>
  <c r="J341" i="1"/>
  <c r="I341" i="1"/>
  <c r="K223" i="1"/>
  <c r="M4" i="1"/>
  <c r="L70" i="1"/>
  <c r="L76" i="1"/>
  <c r="L154" i="1"/>
  <c r="L208" i="1" s="1"/>
  <c r="L82" i="1"/>
  <c r="L85" i="1"/>
  <c r="L73" i="1"/>
  <c r="L166" i="1"/>
  <c r="L220" i="1" s="1"/>
  <c r="L250" i="1" s="1"/>
  <c r="L160" i="1"/>
  <c r="L214" i="1" s="1"/>
  <c r="L244" i="1" s="1"/>
  <c r="L169" i="1"/>
  <c r="L223" i="1" s="1"/>
  <c r="L253" i="1" s="1"/>
  <c r="L79" i="1"/>
  <c r="L157" i="1"/>
  <c r="L211" i="1" s="1"/>
  <c r="L241" i="1" s="1"/>
  <c r="L163" i="1"/>
  <c r="L217" i="1" s="1"/>
  <c r="L247" i="1" s="1"/>
  <c r="U142" i="1"/>
  <c r="K243" i="1"/>
  <c r="V146" i="1"/>
  <c r="V124" i="1"/>
  <c r="X7" i="1"/>
  <c r="W205" i="1"/>
  <c r="W190" i="1"/>
  <c r="W118" i="1"/>
  <c r="W136" i="1" s="1"/>
  <c r="W121" i="1"/>
  <c r="W139" i="1" s="1"/>
  <c r="W106" i="1"/>
  <c r="W109" i="1"/>
  <c r="W127" i="1" s="1"/>
  <c r="W196" i="1"/>
  <c r="W202" i="1"/>
  <c r="W112" i="1"/>
  <c r="W130" i="1" s="1"/>
  <c r="W193" i="1"/>
  <c r="W115" i="1"/>
  <c r="W133" i="1" s="1"/>
  <c r="W199" i="1"/>
  <c r="J226" i="1"/>
  <c r="AC226" i="1" s="1"/>
  <c r="AC256" i="1" s="1"/>
  <c r="J238" i="1"/>
  <c r="AC208" i="1"/>
  <c r="L466" i="1"/>
  <c r="M466" i="1"/>
  <c r="K246" i="1"/>
  <c r="K218" i="1"/>
  <c r="K215" i="1"/>
  <c r="J426" i="1"/>
  <c r="J404" i="1"/>
  <c r="J338" i="1"/>
  <c r="J316" i="1"/>
  <c r="J360" i="1"/>
  <c r="J382" i="1"/>
  <c r="AB264" i="1"/>
  <c r="K252" i="1"/>
  <c r="L422" i="1"/>
  <c r="K422" i="1"/>
  <c r="J422" i="1"/>
  <c r="M422" i="1"/>
  <c r="L400" i="1"/>
  <c r="K400" i="1"/>
  <c r="J400" i="1"/>
  <c r="M400" i="1"/>
  <c r="K378" i="1"/>
  <c r="L334" i="1"/>
  <c r="K334" i="1"/>
  <c r="J378" i="1"/>
  <c r="K356" i="1"/>
  <c r="L356" i="1"/>
  <c r="L312" i="1"/>
  <c r="K268" i="1"/>
  <c r="L378" i="1"/>
  <c r="J356" i="1"/>
  <c r="K312" i="1"/>
  <c r="K290" i="1"/>
  <c r="J290" i="1"/>
  <c r="J334" i="1"/>
  <c r="M356" i="1"/>
  <c r="J312" i="1"/>
  <c r="J268" i="1"/>
  <c r="AC268" i="1" s="1"/>
  <c r="L268" i="1"/>
  <c r="L290" i="1"/>
  <c r="M290" i="1"/>
  <c r="K217" i="1"/>
  <c r="K208" i="1"/>
  <c r="K228" i="1"/>
  <c r="K240" i="1"/>
  <c r="J242" i="1"/>
  <c r="AC212" i="1"/>
  <c r="V127" i="1"/>
  <c r="T145" i="1"/>
  <c r="L472" i="1"/>
  <c r="N24" i="1"/>
  <c r="M72" i="1"/>
  <c r="M84" i="1"/>
  <c r="M75" i="1"/>
  <c r="M81" i="1"/>
  <c r="M87" i="1"/>
  <c r="M78" i="1"/>
  <c r="M171" i="1"/>
  <c r="M168" i="1"/>
  <c r="M162" i="1"/>
  <c r="M216" i="1" s="1"/>
  <c r="M246" i="1" s="1"/>
  <c r="M156" i="1"/>
  <c r="M159" i="1"/>
  <c r="M165" i="1"/>
  <c r="S143" i="1"/>
  <c r="M222" i="1" l="1"/>
  <c r="M210" i="1"/>
  <c r="J418" i="1"/>
  <c r="J308" i="1"/>
  <c r="J352" i="1"/>
  <c r="J374" i="1"/>
  <c r="J396" i="1"/>
  <c r="J264" i="1"/>
  <c r="AC264" i="1" s="1"/>
  <c r="J330" i="1"/>
  <c r="J286" i="1"/>
  <c r="K226" i="1"/>
  <c r="K238" i="1"/>
  <c r="K245" i="1"/>
  <c r="J414" i="1"/>
  <c r="J432" i="1" s="1"/>
  <c r="K414" i="1"/>
  <c r="K432" i="1" s="1"/>
  <c r="L414" i="1"/>
  <c r="L432" i="1" s="1"/>
  <c r="J256" i="1"/>
  <c r="J326" i="1"/>
  <c r="J344" i="1" s="1"/>
  <c r="J348" i="1"/>
  <c r="J366" i="1" s="1"/>
  <c r="J282" i="1"/>
  <c r="J300" i="1" s="1"/>
  <c r="J304" i="1"/>
  <c r="J322" i="1" s="1"/>
  <c r="J370" i="1"/>
  <c r="J388" i="1" s="1"/>
  <c r="L282" i="1"/>
  <c r="L300" i="1" s="1"/>
  <c r="J392" i="1"/>
  <c r="J410" i="1" s="1"/>
  <c r="K370" i="1"/>
  <c r="K388" i="1" s="1"/>
  <c r="K282" i="1"/>
  <c r="K300" i="1" s="1"/>
  <c r="J260" i="1"/>
  <c r="L461" i="1"/>
  <c r="M470" i="1"/>
  <c r="L470" i="1"/>
  <c r="L226" i="1"/>
  <c r="L238" i="1"/>
  <c r="L227" i="1"/>
  <c r="L239" i="1"/>
  <c r="L471" i="1"/>
  <c r="W147" i="1"/>
  <c r="W148" i="1"/>
  <c r="W126" i="1"/>
  <c r="U125" i="1"/>
  <c r="U150" i="1"/>
  <c r="W10" i="1"/>
  <c r="V101" i="1"/>
  <c r="V188" i="1"/>
  <c r="V92" i="1"/>
  <c r="V128" i="1" s="1"/>
  <c r="V104" i="1"/>
  <c r="V140" i="1" s="1"/>
  <c r="V185" i="1"/>
  <c r="V89" i="1"/>
  <c r="V179" i="1"/>
  <c r="V95" i="1"/>
  <c r="V131" i="1" s="1"/>
  <c r="V173" i="1"/>
  <c r="V182" i="1"/>
  <c r="V176" i="1"/>
  <c r="V98" i="1"/>
  <c r="V134" i="1" s="1"/>
  <c r="R8" i="1"/>
  <c r="J417" i="1"/>
  <c r="J351" i="1"/>
  <c r="J395" i="1"/>
  <c r="L395" i="1"/>
  <c r="J373" i="1"/>
  <c r="J263" i="1"/>
  <c r="AC263" i="1" s="1"/>
  <c r="L329" i="1"/>
  <c r="K307" i="1"/>
  <c r="J285" i="1"/>
  <c r="J329" i="1"/>
  <c r="J307" i="1"/>
  <c r="I279" i="1"/>
  <c r="AC261" i="1"/>
  <c r="K241" i="1"/>
  <c r="M488" i="1"/>
  <c r="K229" i="1"/>
  <c r="M378" i="1"/>
  <c r="L450" i="1"/>
  <c r="K450" i="1"/>
  <c r="L274" i="1"/>
  <c r="K362" i="1"/>
  <c r="L362" i="1"/>
  <c r="L340" i="1"/>
  <c r="K274" i="1"/>
  <c r="K340" i="1"/>
  <c r="L296" i="1"/>
  <c r="L406" i="1"/>
  <c r="K406" i="1"/>
  <c r="K384" i="1"/>
  <c r="L384" i="1"/>
  <c r="K296" i="1"/>
  <c r="L428" i="1"/>
  <c r="L318" i="1"/>
  <c r="K318" i="1"/>
  <c r="K428" i="1"/>
  <c r="L444" i="1"/>
  <c r="M444" i="1"/>
  <c r="K444" i="1"/>
  <c r="W146" i="1"/>
  <c r="W124" i="1"/>
  <c r="L474" i="1"/>
  <c r="L460" i="1"/>
  <c r="L478" i="1" s="1"/>
  <c r="L479" i="1" s="1"/>
  <c r="L532" i="1" s="1"/>
  <c r="L258" i="1"/>
  <c r="L259" i="1" s="1"/>
  <c r="J423" i="1"/>
  <c r="J401" i="1"/>
  <c r="J379" i="1"/>
  <c r="J357" i="1"/>
  <c r="J269" i="1"/>
  <c r="AC269" i="1" s="1"/>
  <c r="J313" i="1"/>
  <c r="J335" i="1"/>
  <c r="J291" i="1"/>
  <c r="U134" i="1"/>
  <c r="T12" i="1"/>
  <c r="AC276" i="1"/>
  <c r="L365" i="1"/>
  <c r="L299" i="1"/>
  <c r="K431" i="1"/>
  <c r="K254" i="1"/>
  <c r="M219" i="1"/>
  <c r="O24" i="1"/>
  <c r="N171" i="1"/>
  <c r="N225" i="1" s="1"/>
  <c r="N255" i="1" s="1"/>
  <c r="N159" i="1"/>
  <c r="N213" i="1" s="1"/>
  <c r="N243" i="1" s="1"/>
  <c r="N87" i="1"/>
  <c r="N162" i="1"/>
  <c r="N168" i="1"/>
  <c r="N75" i="1"/>
  <c r="N78" i="1"/>
  <c r="N84" i="1"/>
  <c r="N72" i="1"/>
  <c r="N81" i="1"/>
  <c r="N156" i="1"/>
  <c r="N210" i="1" s="1"/>
  <c r="N165" i="1"/>
  <c r="N219" i="1" s="1"/>
  <c r="N249" i="1" s="1"/>
  <c r="Y7" i="1"/>
  <c r="X121" i="1"/>
  <c r="X139" i="1" s="1"/>
  <c r="X118" i="1"/>
  <c r="X106" i="1"/>
  <c r="X196" i="1"/>
  <c r="X109" i="1"/>
  <c r="X205" i="1"/>
  <c r="X112" i="1"/>
  <c r="X202" i="1"/>
  <c r="X190" i="1"/>
  <c r="X193" i="1"/>
  <c r="X199" i="1"/>
  <c r="X115" i="1"/>
  <c r="X133" i="1" s="1"/>
  <c r="L473" i="1"/>
  <c r="K253" i="1"/>
  <c r="L462" i="1"/>
  <c r="L465" i="1"/>
  <c r="K242" i="1"/>
  <c r="K447" i="1"/>
  <c r="L447" i="1"/>
  <c r="L381" i="1"/>
  <c r="L359" i="1"/>
  <c r="K403" i="1"/>
  <c r="K381" i="1"/>
  <c r="K359" i="1"/>
  <c r="K425" i="1"/>
  <c r="L425" i="1"/>
  <c r="L403" i="1"/>
  <c r="K337" i="1"/>
  <c r="K315" i="1"/>
  <c r="L315" i="1"/>
  <c r="L271" i="1"/>
  <c r="L293" i="1"/>
  <c r="L337" i="1"/>
  <c r="K271" i="1"/>
  <c r="K293" i="1"/>
  <c r="V144" i="1"/>
  <c r="U128" i="1"/>
  <c r="T143" i="1"/>
  <c r="K250" i="1"/>
  <c r="K251" i="1"/>
  <c r="M213" i="1"/>
  <c r="M225" i="1"/>
  <c r="K258" i="1"/>
  <c r="K259" i="1" s="1"/>
  <c r="K438" i="1"/>
  <c r="K456" i="1" s="1"/>
  <c r="K457" i="1" s="1"/>
  <c r="K531" i="1" s="1"/>
  <c r="L438" i="1"/>
  <c r="L456" i="1" s="1"/>
  <c r="L457" i="1" s="1"/>
  <c r="L531" i="1" s="1"/>
  <c r="L394" i="1"/>
  <c r="L412" i="1" s="1"/>
  <c r="L413" i="1" s="1"/>
  <c r="L529" i="1" s="1"/>
  <c r="K350" i="1"/>
  <c r="K368" i="1" s="1"/>
  <c r="K369" i="1" s="1"/>
  <c r="K527" i="1" s="1"/>
  <c r="K372" i="1"/>
  <c r="K390" i="1" s="1"/>
  <c r="K391" i="1" s="1"/>
  <c r="K528" i="1" s="1"/>
  <c r="K328" i="1"/>
  <c r="K346" i="1" s="1"/>
  <c r="K347" i="1" s="1"/>
  <c r="K526" i="1" s="1"/>
  <c r="K262" i="1"/>
  <c r="L306" i="1"/>
  <c r="L324" i="1" s="1"/>
  <c r="L325" i="1" s="1"/>
  <c r="L525" i="1" s="1"/>
  <c r="L416" i="1"/>
  <c r="L434" i="1" s="1"/>
  <c r="L435" i="1" s="1"/>
  <c r="L530" i="1" s="1"/>
  <c r="K416" i="1"/>
  <c r="K434" i="1" s="1"/>
  <c r="K435" i="1" s="1"/>
  <c r="K530" i="1" s="1"/>
  <c r="L328" i="1"/>
  <c r="L346" i="1" s="1"/>
  <c r="L347" i="1" s="1"/>
  <c r="L526" i="1" s="1"/>
  <c r="L350" i="1"/>
  <c r="L368" i="1" s="1"/>
  <c r="L369" i="1" s="1"/>
  <c r="L527" i="1" s="1"/>
  <c r="L262" i="1"/>
  <c r="L280" i="1" s="1"/>
  <c r="L281" i="1" s="1"/>
  <c r="L284" i="1"/>
  <c r="L302" i="1" s="1"/>
  <c r="L303" i="1" s="1"/>
  <c r="L524" i="1" s="1"/>
  <c r="K306" i="1"/>
  <c r="K324" i="1" s="1"/>
  <c r="K325" i="1" s="1"/>
  <c r="K525" i="1" s="1"/>
  <c r="K284" i="1"/>
  <c r="K302" i="1" s="1"/>
  <c r="K303" i="1" s="1"/>
  <c r="K524" i="1" s="1"/>
  <c r="L372" i="1"/>
  <c r="L390" i="1" s="1"/>
  <c r="L391" i="1" s="1"/>
  <c r="L528" i="1" s="1"/>
  <c r="K394" i="1"/>
  <c r="K412" i="1" s="1"/>
  <c r="K413" i="1" s="1"/>
  <c r="K529" i="1" s="1"/>
  <c r="K247" i="1"/>
  <c r="M268" i="1"/>
  <c r="M334" i="1"/>
  <c r="M312" i="1"/>
  <c r="K248" i="1"/>
  <c r="V142" i="1"/>
  <c r="L441" i="1"/>
  <c r="K441" i="1"/>
  <c r="L419" i="1"/>
  <c r="K419" i="1"/>
  <c r="L397" i="1"/>
  <c r="K397" i="1"/>
  <c r="L353" i="1"/>
  <c r="K331" i="1"/>
  <c r="L309" i="1"/>
  <c r="L265" i="1"/>
  <c r="K265" i="1"/>
  <c r="L331" i="1"/>
  <c r="K287" i="1"/>
  <c r="K353" i="1"/>
  <c r="K375" i="1"/>
  <c r="L375" i="1"/>
  <c r="K309" i="1"/>
  <c r="L287" i="1"/>
  <c r="L467" i="1"/>
  <c r="L464" i="1"/>
  <c r="M70" i="1"/>
  <c r="N4" i="1"/>
  <c r="M76" i="1"/>
  <c r="M85" i="1"/>
  <c r="M154" i="1"/>
  <c r="M208" i="1" s="1"/>
  <c r="M82" i="1"/>
  <c r="M166" i="1"/>
  <c r="M220" i="1" s="1"/>
  <c r="M250" i="1" s="1"/>
  <c r="M79" i="1"/>
  <c r="M160" i="1"/>
  <c r="M73" i="1"/>
  <c r="M169" i="1"/>
  <c r="M223" i="1" s="1"/>
  <c r="M253" i="1" s="1"/>
  <c r="M473" i="1" s="1"/>
  <c r="M157" i="1"/>
  <c r="M211" i="1" s="1"/>
  <c r="M241" i="1" s="1"/>
  <c r="M163" i="1"/>
  <c r="L468" i="1"/>
  <c r="N20" i="1"/>
  <c r="M164" i="1"/>
  <c r="M83" i="1"/>
  <c r="M161" i="1"/>
  <c r="M215" i="1" s="1"/>
  <c r="M245" i="1" s="1"/>
  <c r="M155" i="1"/>
  <c r="M209" i="1" s="1"/>
  <c r="M74" i="1"/>
  <c r="M86" i="1"/>
  <c r="M80" i="1"/>
  <c r="M158" i="1"/>
  <c r="M212" i="1" s="1"/>
  <c r="M242" i="1" s="1"/>
  <c r="M71" i="1"/>
  <c r="M167" i="1"/>
  <c r="M221" i="1" s="1"/>
  <c r="M251" i="1" s="1"/>
  <c r="M77" i="1"/>
  <c r="M170" i="1"/>
  <c r="Y11" i="1"/>
  <c r="X122" i="1"/>
  <c r="X197" i="1"/>
  <c r="X119" i="1"/>
  <c r="X203" i="1"/>
  <c r="X110" i="1"/>
  <c r="X107" i="1"/>
  <c r="X147" i="1" s="1"/>
  <c r="X113" i="1"/>
  <c r="X191" i="1"/>
  <c r="X206" i="1"/>
  <c r="X200" i="1"/>
  <c r="X116" i="1"/>
  <c r="X194" i="1"/>
  <c r="W129" i="1"/>
  <c r="Y15" i="1"/>
  <c r="X123" i="1"/>
  <c r="X141" i="1" s="1"/>
  <c r="X114" i="1"/>
  <c r="X132" i="1" s="1"/>
  <c r="X111" i="1"/>
  <c r="X129" i="1" s="1"/>
  <c r="X108" i="1"/>
  <c r="X198" i="1"/>
  <c r="X120" i="1"/>
  <c r="X138" i="1" s="1"/>
  <c r="X207" i="1"/>
  <c r="X204" i="1"/>
  <c r="X192" i="1"/>
  <c r="X117" i="1"/>
  <c r="X201" i="1"/>
  <c r="X195" i="1"/>
  <c r="K453" i="1"/>
  <c r="L453" i="1"/>
  <c r="K244" i="1"/>
  <c r="L424" i="1"/>
  <c r="J424" i="1"/>
  <c r="J380" i="1"/>
  <c r="L402" i="1"/>
  <c r="J314" i="1"/>
  <c r="J358" i="1"/>
  <c r="K358" i="1"/>
  <c r="J402" i="1"/>
  <c r="J336" i="1"/>
  <c r="L336" i="1"/>
  <c r="L270" i="1"/>
  <c r="L292" i="1"/>
  <c r="J270" i="1"/>
  <c r="AC270" i="1" s="1"/>
  <c r="J292" i="1"/>
  <c r="K277" i="1"/>
  <c r="L343" i="1"/>
  <c r="L321" i="1"/>
  <c r="K409" i="1"/>
  <c r="L431" i="1"/>
  <c r="K227" i="1"/>
  <c r="K239" i="1"/>
  <c r="N465" i="1" l="1"/>
  <c r="M218" i="1"/>
  <c r="O4" i="1"/>
  <c r="N70" i="1"/>
  <c r="N76" i="1"/>
  <c r="N154" i="1"/>
  <c r="N82" i="1"/>
  <c r="N85" i="1"/>
  <c r="N79" i="1"/>
  <c r="N160" i="1"/>
  <c r="N214" i="1" s="1"/>
  <c r="N244" i="1" s="1"/>
  <c r="N169" i="1"/>
  <c r="N223" i="1" s="1"/>
  <c r="N253" i="1" s="1"/>
  <c r="N166" i="1"/>
  <c r="N73" i="1"/>
  <c r="N157" i="1"/>
  <c r="N211" i="1" s="1"/>
  <c r="N241" i="1" s="1"/>
  <c r="N163" i="1"/>
  <c r="K446" i="1"/>
  <c r="L446" i="1"/>
  <c r="L445" i="1"/>
  <c r="K445" i="1"/>
  <c r="K401" i="1"/>
  <c r="L379" i="1"/>
  <c r="K280" i="1"/>
  <c r="K281" i="1" s="1"/>
  <c r="M243" i="1"/>
  <c r="M448" i="1"/>
  <c r="K448" i="1"/>
  <c r="L448" i="1"/>
  <c r="M272" i="1"/>
  <c r="K272" i="1"/>
  <c r="K294" i="1"/>
  <c r="M294" i="1"/>
  <c r="K426" i="1"/>
  <c r="L316" i="1"/>
  <c r="L404" i="1"/>
  <c r="L360" i="1"/>
  <c r="M316" i="1"/>
  <c r="K404" i="1"/>
  <c r="M382" i="1"/>
  <c r="L294" i="1"/>
  <c r="M404" i="1"/>
  <c r="L338" i="1"/>
  <c r="K360" i="1"/>
  <c r="M426" i="1"/>
  <c r="M360" i="1"/>
  <c r="M338" i="1"/>
  <c r="K382" i="1"/>
  <c r="K338" i="1"/>
  <c r="L272" i="1"/>
  <c r="L426" i="1"/>
  <c r="L382" i="1"/>
  <c r="K316" i="1"/>
  <c r="X130" i="1"/>
  <c r="X146" i="1"/>
  <c r="X124" i="1"/>
  <c r="N228" i="1"/>
  <c r="N229" i="1" s="1"/>
  <c r="N240" i="1"/>
  <c r="L269" i="1"/>
  <c r="L357" i="1"/>
  <c r="K379" i="1"/>
  <c r="L313" i="1"/>
  <c r="N307" i="1"/>
  <c r="N263" i="1"/>
  <c r="M351" i="1"/>
  <c r="M417" i="1"/>
  <c r="V125" i="1"/>
  <c r="V150" i="1"/>
  <c r="U143" i="1"/>
  <c r="K308" i="1"/>
  <c r="M286" i="1"/>
  <c r="K352" i="1"/>
  <c r="K374" i="1"/>
  <c r="M228" i="1"/>
  <c r="M240" i="1"/>
  <c r="K336" i="1"/>
  <c r="K270" i="1"/>
  <c r="K402" i="1"/>
  <c r="K380" i="1"/>
  <c r="L314" i="1"/>
  <c r="L380" i="1"/>
  <c r="K424" i="1"/>
  <c r="X135" i="1"/>
  <c r="M224" i="1"/>
  <c r="N484" i="1"/>
  <c r="M484" i="1"/>
  <c r="M227" i="1"/>
  <c r="M239" i="1"/>
  <c r="O20" i="1"/>
  <c r="N155" i="1"/>
  <c r="N209" i="1" s="1"/>
  <c r="N167" i="1"/>
  <c r="N221" i="1" s="1"/>
  <c r="N158" i="1"/>
  <c r="N212" i="1" s="1"/>
  <c r="N242" i="1" s="1"/>
  <c r="N71" i="1"/>
  <c r="N170" i="1"/>
  <c r="N161" i="1"/>
  <c r="N215" i="1" s="1"/>
  <c r="N245" i="1" s="1"/>
  <c r="N83" i="1"/>
  <c r="N80" i="1"/>
  <c r="N164" i="1"/>
  <c r="N77" i="1"/>
  <c r="N86" i="1"/>
  <c r="N74" i="1"/>
  <c r="M217" i="1"/>
  <c r="M214" i="1"/>
  <c r="M226" i="1"/>
  <c r="M238" i="1"/>
  <c r="L449" i="1"/>
  <c r="M449" i="1"/>
  <c r="K449" i="1"/>
  <c r="L295" i="1"/>
  <c r="M295" i="1"/>
  <c r="K273" i="1"/>
  <c r="L317" i="1"/>
  <c r="M273" i="1"/>
  <c r="K339" i="1"/>
  <c r="M383" i="1"/>
  <c r="K317" i="1"/>
  <c r="L273" i="1"/>
  <c r="M317" i="1"/>
  <c r="K383" i="1"/>
  <c r="L405" i="1"/>
  <c r="M405" i="1"/>
  <c r="K427" i="1"/>
  <c r="K361" i="1"/>
  <c r="M361" i="1"/>
  <c r="K405" i="1"/>
  <c r="L339" i="1"/>
  <c r="L427" i="1"/>
  <c r="M427" i="1"/>
  <c r="M339" i="1"/>
  <c r="K295" i="1"/>
  <c r="L383" i="1"/>
  <c r="L361" i="1"/>
  <c r="M462" i="1"/>
  <c r="X136" i="1"/>
  <c r="N507" i="1"/>
  <c r="U12" i="1"/>
  <c r="K269" i="1"/>
  <c r="L335" i="1"/>
  <c r="K313" i="1"/>
  <c r="K423" i="1"/>
  <c r="L423" i="1"/>
  <c r="N329" i="1"/>
  <c r="M285" i="1"/>
  <c r="N351" i="1"/>
  <c r="M395" i="1"/>
  <c r="L392" i="1"/>
  <c r="L410" i="1" s="1"/>
  <c r="M370" i="1"/>
  <c r="M388" i="1" s="1"/>
  <c r="L436" i="1"/>
  <c r="L454" i="1" s="1"/>
  <c r="M436" i="1"/>
  <c r="M454" i="1" s="1"/>
  <c r="K256" i="1"/>
  <c r="K436" i="1"/>
  <c r="K454" i="1" s="1"/>
  <c r="M414" i="1"/>
  <c r="M432" i="1" s="1"/>
  <c r="M326" i="1"/>
  <c r="M344" i="1" s="1"/>
  <c r="L348" i="1"/>
  <c r="L366" i="1" s="1"/>
  <c r="L370" i="1"/>
  <c r="L388" i="1" s="1"/>
  <c r="K348" i="1"/>
  <c r="K366" i="1" s="1"/>
  <c r="M304" i="1"/>
  <c r="M322" i="1" s="1"/>
  <c r="K260" i="1"/>
  <c r="K392" i="1"/>
  <c r="K410" i="1" s="1"/>
  <c r="K304" i="1"/>
  <c r="K322" i="1" s="1"/>
  <c r="L326" i="1"/>
  <c r="L344" i="1" s="1"/>
  <c r="L260" i="1"/>
  <c r="L278" i="1" s="1"/>
  <c r="L304" i="1"/>
  <c r="L322" i="1" s="1"/>
  <c r="M392" i="1"/>
  <c r="M410" i="1" s="1"/>
  <c r="K326" i="1"/>
  <c r="K344" i="1" s="1"/>
  <c r="N264" i="1"/>
  <c r="K286" i="1"/>
  <c r="L437" i="1"/>
  <c r="L455" i="1" s="1"/>
  <c r="K437" i="1"/>
  <c r="K455" i="1" s="1"/>
  <c r="K257" i="1"/>
  <c r="M437" i="1"/>
  <c r="M455" i="1" s="1"/>
  <c r="K393" i="1"/>
  <c r="K411" i="1" s="1"/>
  <c r="M305" i="1"/>
  <c r="M323" i="1" s="1"/>
  <c r="K283" i="1"/>
  <c r="K301" i="1" s="1"/>
  <c r="K371" i="1"/>
  <c r="K389" i="1" s="1"/>
  <c r="K415" i="1"/>
  <c r="K433" i="1" s="1"/>
  <c r="M261" i="1"/>
  <c r="M279" i="1" s="1"/>
  <c r="L261" i="1"/>
  <c r="L279" i="1" s="1"/>
  <c r="L371" i="1"/>
  <c r="L389" i="1" s="1"/>
  <c r="L283" i="1"/>
  <c r="L301" i="1" s="1"/>
  <c r="L349" i="1"/>
  <c r="L367" i="1" s="1"/>
  <c r="L415" i="1"/>
  <c r="L433" i="1" s="1"/>
  <c r="L393" i="1"/>
  <c r="L411" i="1" s="1"/>
  <c r="M283" i="1"/>
  <c r="M301" i="1" s="1"/>
  <c r="M349" i="1"/>
  <c r="M367" i="1" s="1"/>
  <c r="K349" i="1"/>
  <c r="K367" i="1" s="1"/>
  <c r="M327" i="1"/>
  <c r="M345" i="1" s="1"/>
  <c r="M415" i="1"/>
  <c r="M433" i="1" s="1"/>
  <c r="M393" i="1"/>
  <c r="M411" i="1" s="1"/>
  <c r="K305" i="1"/>
  <c r="K323" i="1" s="1"/>
  <c r="L305" i="1"/>
  <c r="L323" i="1" s="1"/>
  <c r="K261" i="1"/>
  <c r="K327" i="1"/>
  <c r="K345" i="1" s="1"/>
  <c r="L327" i="1"/>
  <c r="L345" i="1" s="1"/>
  <c r="M371" i="1"/>
  <c r="M389" i="1" s="1"/>
  <c r="M487" i="1"/>
  <c r="N487" i="1"/>
  <c r="N483" i="1"/>
  <c r="M483" i="1"/>
  <c r="N461" i="1"/>
  <c r="M461" i="1"/>
  <c r="M255" i="1"/>
  <c r="V145" i="1"/>
  <c r="K440" i="1"/>
  <c r="N440" i="1"/>
  <c r="M440" i="1"/>
  <c r="L440" i="1"/>
  <c r="L418" i="1"/>
  <c r="M418" i="1"/>
  <c r="L374" i="1"/>
  <c r="L396" i="1"/>
  <c r="N352" i="1"/>
  <c r="M374" i="1"/>
  <c r="M396" i="1"/>
  <c r="M352" i="1"/>
  <c r="N374" i="1"/>
  <c r="L352" i="1"/>
  <c r="N396" i="1"/>
  <c r="M308" i="1"/>
  <c r="N308" i="1"/>
  <c r="L308" i="1"/>
  <c r="L264" i="1"/>
  <c r="K418" i="1"/>
  <c r="N418" i="1"/>
  <c r="K330" i="1"/>
  <c r="N330" i="1"/>
  <c r="K264" i="1"/>
  <c r="L286" i="1"/>
  <c r="N286" i="1"/>
  <c r="N451" i="1"/>
  <c r="L451" i="1"/>
  <c r="K451" i="1"/>
  <c r="M451" i="1"/>
  <c r="K429" i="1"/>
  <c r="M429" i="1"/>
  <c r="L429" i="1"/>
  <c r="N429" i="1"/>
  <c r="K407" i="1"/>
  <c r="N363" i="1"/>
  <c r="N297" i="1"/>
  <c r="N341" i="1"/>
  <c r="N385" i="1"/>
  <c r="K385" i="1"/>
  <c r="K363" i="1"/>
  <c r="M319" i="1"/>
  <c r="M385" i="1"/>
  <c r="N319" i="1"/>
  <c r="L363" i="1"/>
  <c r="M275" i="1"/>
  <c r="M341" i="1"/>
  <c r="N275" i="1"/>
  <c r="K297" i="1"/>
  <c r="K275" i="1"/>
  <c r="N407" i="1"/>
  <c r="K319" i="1"/>
  <c r="L385" i="1"/>
  <c r="M363" i="1"/>
  <c r="L319" i="1"/>
  <c r="L341" i="1"/>
  <c r="L407" i="1"/>
  <c r="M407" i="1"/>
  <c r="L297" i="1"/>
  <c r="K341" i="1"/>
  <c r="L275" i="1"/>
  <c r="M297" i="1"/>
  <c r="X127" i="1"/>
  <c r="N222" i="1"/>
  <c r="N252" i="1" s="1"/>
  <c r="N519" i="1"/>
  <c r="M249" i="1"/>
  <c r="K291" i="1"/>
  <c r="M263" i="1"/>
  <c r="W152" i="1"/>
  <c r="K396" i="1"/>
  <c r="K292" i="1"/>
  <c r="K314" i="1"/>
  <c r="L358" i="1"/>
  <c r="L442" i="1"/>
  <c r="K442" i="1"/>
  <c r="K420" i="1"/>
  <c r="L420" i="1"/>
  <c r="K376" i="1"/>
  <c r="L266" i="1"/>
  <c r="L398" i="1"/>
  <c r="K288" i="1"/>
  <c r="K398" i="1"/>
  <c r="L376" i="1"/>
  <c r="L354" i="1"/>
  <c r="L288" i="1"/>
  <c r="K354" i="1"/>
  <c r="K310" i="1"/>
  <c r="L310" i="1"/>
  <c r="K332" i="1"/>
  <c r="L332" i="1"/>
  <c r="K266" i="1"/>
  <c r="X148" i="1"/>
  <c r="X152" i="1" s="1"/>
  <c r="X126" i="1"/>
  <c r="Z15" i="1"/>
  <c r="Y123" i="1"/>
  <c r="Y141" i="1" s="1"/>
  <c r="Y120" i="1"/>
  <c r="Y138" i="1" s="1"/>
  <c r="Y198" i="1"/>
  <c r="Y108" i="1"/>
  <c r="Y204" i="1"/>
  <c r="Y207" i="1"/>
  <c r="Y114" i="1"/>
  <c r="Y132" i="1" s="1"/>
  <c r="Y192" i="1"/>
  <c r="Y111" i="1"/>
  <c r="Y129" i="1" s="1"/>
  <c r="Y201" i="1"/>
  <c r="Y117" i="1"/>
  <c r="Y135" i="1" s="1"/>
  <c r="Y195" i="1"/>
  <c r="Z11" i="1"/>
  <c r="Y122" i="1"/>
  <c r="Y119" i="1"/>
  <c r="Y113" i="1"/>
  <c r="Y197" i="1"/>
  <c r="Y191" i="1"/>
  <c r="Y110" i="1"/>
  <c r="Y203" i="1"/>
  <c r="Y107" i="1"/>
  <c r="Y147" i="1" s="1"/>
  <c r="Y194" i="1"/>
  <c r="Y206" i="1"/>
  <c r="Y200" i="1"/>
  <c r="Y116" i="1"/>
  <c r="M493" i="1"/>
  <c r="M471" i="1"/>
  <c r="M495" i="1"/>
  <c r="N495" i="1"/>
  <c r="M492" i="1"/>
  <c r="M465" i="1"/>
  <c r="N473" i="1"/>
  <c r="Z7" i="1"/>
  <c r="Y118" i="1"/>
  <c r="Y136" i="1" s="1"/>
  <c r="Y121" i="1"/>
  <c r="Y139" i="1" s="1"/>
  <c r="Y190" i="1"/>
  <c r="Y112" i="1"/>
  <c r="Y130" i="1" s="1"/>
  <c r="Y196" i="1"/>
  <c r="Y106" i="1"/>
  <c r="Y109" i="1"/>
  <c r="Y127" i="1" s="1"/>
  <c r="Y205" i="1"/>
  <c r="Y202" i="1"/>
  <c r="Y199" i="1"/>
  <c r="Y193" i="1"/>
  <c r="Y115" i="1"/>
  <c r="Y133" i="1" s="1"/>
  <c r="N513" i="1"/>
  <c r="N216" i="1"/>
  <c r="P24" i="1"/>
  <c r="O159" i="1"/>
  <c r="O165" i="1"/>
  <c r="O72" i="1"/>
  <c r="O168" i="1"/>
  <c r="O222" i="1" s="1"/>
  <c r="O171" i="1"/>
  <c r="O156" i="1"/>
  <c r="O210" i="1" s="1"/>
  <c r="O75" i="1"/>
  <c r="O78" i="1"/>
  <c r="O84" i="1"/>
  <c r="O81" i="1"/>
  <c r="O87" i="1"/>
  <c r="O162" i="1"/>
  <c r="L452" i="1"/>
  <c r="K452" i="1"/>
  <c r="L430" i="1"/>
  <c r="K430" i="1"/>
  <c r="L386" i="1"/>
  <c r="K364" i="1"/>
  <c r="L408" i="1"/>
  <c r="L342" i="1"/>
  <c r="L276" i="1"/>
  <c r="K408" i="1"/>
  <c r="L364" i="1"/>
  <c r="L298" i="1"/>
  <c r="L320" i="1"/>
  <c r="K342" i="1"/>
  <c r="K276" i="1"/>
  <c r="K298" i="1"/>
  <c r="K386" i="1"/>
  <c r="K320" i="1"/>
  <c r="K335" i="1"/>
  <c r="L291" i="1"/>
  <c r="L401" i="1"/>
  <c r="K357" i="1"/>
  <c r="L439" i="1"/>
  <c r="K439" i="1"/>
  <c r="M439" i="1"/>
  <c r="N439" i="1"/>
  <c r="N417" i="1"/>
  <c r="K417" i="1"/>
  <c r="L373" i="1"/>
  <c r="K395" i="1"/>
  <c r="M373" i="1"/>
  <c r="K351" i="1"/>
  <c r="L285" i="1"/>
  <c r="L263" i="1"/>
  <c r="M329" i="1"/>
  <c r="K263" i="1"/>
  <c r="K329" i="1"/>
  <c r="L417" i="1"/>
  <c r="L351" i="1"/>
  <c r="K373" i="1"/>
  <c r="N285" i="1"/>
  <c r="M307" i="1"/>
  <c r="L307" i="1"/>
  <c r="K285" i="1"/>
  <c r="N395" i="1"/>
  <c r="N373" i="1"/>
  <c r="L458" i="1"/>
  <c r="L476" i="1" s="1"/>
  <c r="L256" i="1"/>
  <c r="M458" i="1"/>
  <c r="M476" i="1" s="1"/>
  <c r="M282" i="1"/>
  <c r="M300" i="1" s="1"/>
  <c r="M348" i="1"/>
  <c r="M366" i="1" s="1"/>
  <c r="L330" i="1"/>
  <c r="M330" i="1"/>
  <c r="M264" i="1"/>
  <c r="X10" i="1"/>
  <c r="W101" i="1"/>
  <c r="W137" i="1" s="1"/>
  <c r="W104" i="1"/>
  <c r="W140" i="1" s="1"/>
  <c r="W95" i="1"/>
  <c r="W131" i="1" s="1"/>
  <c r="W179" i="1"/>
  <c r="W89" i="1"/>
  <c r="W92" i="1"/>
  <c r="W188" i="1"/>
  <c r="W173" i="1"/>
  <c r="W185" i="1"/>
  <c r="W182" i="1"/>
  <c r="W98" i="1"/>
  <c r="W176" i="1"/>
  <c r="W144" i="1"/>
  <c r="J278" i="1"/>
  <c r="AC260" i="1"/>
  <c r="L443" i="1"/>
  <c r="K443" i="1"/>
  <c r="N443" i="1"/>
  <c r="M443" i="1"/>
  <c r="L333" i="1"/>
  <c r="N333" i="1"/>
  <c r="K333" i="1"/>
  <c r="N267" i="1"/>
  <c r="M289" i="1"/>
  <c r="L267" i="1"/>
  <c r="M377" i="1"/>
  <c r="M355" i="1"/>
  <c r="L311" i="1"/>
  <c r="L355" i="1"/>
  <c r="L377" i="1"/>
  <c r="N311" i="1"/>
  <c r="K377" i="1"/>
  <c r="K267" i="1"/>
  <c r="K399" i="1"/>
  <c r="N377" i="1"/>
  <c r="M333" i="1"/>
  <c r="K311" i="1"/>
  <c r="N355" i="1"/>
  <c r="K355" i="1"/>
  <c r="M311" i="1"/>
  <c r="M267" i="1"/>
  <c r="L399" i="1"/>
  <c r="N289" i="1"/>
  <c r="N421" i="1"/>
  <c r="N399" i="1"/>
  <c r="K289" i="1"/>
  <c r="L421" i="1"/>
  <c r="L289" i="1"/>
  <c r="M421" i="1"/>
  <c r="K421" i="1"/>
  <c r="M399" i="1"/>
  <c r="M252" i="1"/>
  <c r="W142" i="1"/>
  <c r="S8" i="1"/>
  <c r="V137" i="1"/>
  <c r="M459" i="1"/>
  <c r="M477" i="1" s="1"/>
  <c r="L459" i="1"/>
  <c r="L477" i="1" s="1"/>
  <c r="L257" i="1"/>
  <c r="T8" i="1" l="1"/>
  <c r="Y10" i="1"/>
  <c r="X101" i="1"/>
  <c r="X137" i="1" s="1"/>
  <c r="X179" i="1"/>
  <c r="X104" i="1"/>
  <c r="X140" i="1" s="1"/>
  <c r="X188" i="1"/>
  <c r="X185" i="1"/>
  <c r="X173" i="1"/>
  <c r="X95" i="1"/>
  <c r="X131" i="1" s="1"/>
  <c r="X89" i="1"/>
  <c r="X92" i="1"/>
  <c r="X128" i="1" s="1"/>
  <c r="X182" i="1"/>
  <c r="X98" i="1"/>
  <c r="X134" i="1" s="1"/>
  <c r="X176" i="1"/>
  <c r="O216" i="1"/>
  <c r="O246" i="1" s="1"/>
  <c r="O252" i="1"/>
  <c r="Q24" i="1"/>
  <c r="P78" i="1"/>
  <c r="P156" i="1"/>
  <c r="P162" i="1"/>
  <c r="P216" i="1" s="1"/>
  <c r="P246" i="1" s="1"/>
  <c r="P159" i="1"/>
  <c r="P213" i="1" s="1"/>
  <c r="P243" i="1" s="1"/>
  <c r="P84" i="1"/>
  <c r="P75" i="1"/>
  <c r="P72" i="1"/>
  <c r="P81" i="1"/>
  <c r="P171" i="1"/>
  <c r="P225" i="1" s="1"/>
  <c r="P255" i="1" s="1"/>
  <c r="P87" i="1"/>
  <c r="P168" i="1"/>
  <c r="P222" i="1" s="1"/>
  <c r="P252" i="1" s="1"/>
  <c r="P165" i="1"/>
  <c r="P219" i="1" s="1"/>
  <c r="P249" i="1" s="1"/>
  <c r="K279" i="1"/>
  <c r="M248" i="1"/>
  <c r="Z118" i="1"/>
  <c r="Z121" i="1"/>
  <c r="Z112" i="1"/>
  <c r="Z106" i="1"/>
  <c r="Z196" i="1"/>
  <c r="AD196" i="1" s="1"/>
  <c r="Z205" i="1"/>
  <c r="AD205" i="1" s="1"/>
  <c r="Z109" i="1"/>
  <c r="Z190" i="1"/>
  <c r="AD190" i="1" s="1"/>
  <c r="Z202" i="1"/>
  <c r="AD202" i="1" s="1"/>
  <c r="Z115" i="1"/>
  <c r="Z193" i="1"/>
  <c r="AD193" i="1" s="1"/>
  <c r="Z199" i="1"/>
  <c r="AD199" i="1" s="1"/>
  <c r="Z113" i="1"/>
  <c r="AD113" i="1" s="1"/>
  <c r="Z122" i="1"/>
  <c r="AD122" i="1" s="1"/>
  <c r="Z119" i="1"/>
  <c r="AD119" i="1" s="1"/>
  <c r="Z110" i="1"/>
  <c r="AD110" i="1" s="1"/>
  <c r="Z107" i="1"/>
  <c r="Z191" i="1"/>
  <c r="AD191" i="1" s="1"/>
  <c r="Z203" i="1"/>
  <c r="AD203" i="1" s="1"/>
  <c r="Z197" i="1"/>
  <c r="AD197" i="1" s="1"/>
  <c r="Z206" i="1"/>
  <c r="AD206" i="1" s="1"/>
  <c r="Z200" i="1"/>
  <c r="AD200" i="1" s="1"/>
  <c r="Z194" i="1"/>
  <c r="AD194" i="1" s="1"/>
  <c r="Z116" i="1"/>
  <c r="AD116" i="1" s="1"/>
  <c r="Y148" i="1"/>
  <c r="Y126" i="1"/>
  <c r="Z114" i="1"/>
  <c r="Z120" i="1"/>
  <c r="Z123" i="1"/>
  <c r="Z111" i="1"/>
  <c r="Z108" i="1"/>
  <c r="Z198" i="1"/>
  <c r="AD198" i="1" s="1"/>
  <c r="Z192" i="1"/>
  <c r="AD192" i="1" s="1"/>
  <c r="Z204" i="1"/>
  <c r="AD204" i="1" s="1"/>
  <c r="Z207" i="1"/>
  <c r="AD207" i="1" s="1"/>
  <c r="Z195" i="1"/>
  <c r="AD195" i="1" s="1"/>
  <c r="Z117" i="1"/>
  <c r="Z201" i="1"/>
  <c r="AD201" i="1" s="1"/>
  <c r="V12" i="1"/>
  <c r="M229" i="1"/>
  <c r="N220" i="1"/>
  <c r="W145" i="1"/>
  <c r="W150" i="1"/>
  <c r="W125" i="1"/>
  <c r="O225" i="1"/>
  <c r="O213" i="1"/>
  <c r="M247" i="1"/>
  <c r="N218" i="1"/>
  <c r="N248" i="1" s="1"/>
  <c r="N224" i="1"/>
  <c r="N254" i="1" s="1"/>
  <c r="N227" i="1"/>
  <c r="N239" i="1"/>
  <c r="M494" i="1"/>
  <c r="O494" i="1"/>
  <c r="N494" i="1"/>
  <c r="N472" i="1"/>
  <c r="M472" i="1"/>
  <c r="M450" i="1"/>
  <c r="P274" i="1"/>
  <c r="O318" i="1"/>
  <c r="N296" i="1"/>
  <c r="M406" i="1"/>
  <c r="N340" i="1"/>
  <c r="O362" i="1"/>
  <c r="M384" i="1"/>
  <c r="N384" i="1"/>
  <c r="M340" i="1"/>
  <c r="O296" i="1"/>
  <c r="M318" i="1"/>
  <c r="M362" i="1"/>
  <c r="P406" i="1"/>
  <c r="N318" i="1"/>
  <c r="P318" i="1"/>
  <c r="M428" i="1"/>
  <c r="N450" i="1"/>
  <c r="M274" i="1"/>
  <c r="N406" i="1"/>
  <c r="M296" i="1"/>
  <c r="N274" i="1"/>
  <c r="N362" i="1"/>
  <c r="N428" i="1"/>
  <c r="W128" i="1"/>
  <c r="O228" i="1"/>
  <c r="O229" i="1" s="1"/>
  <c r="O240" i="1"/>
  <c r="O258" i="1" s="1"/>
  <c r="O259" i="1" s="1"/>
  <c r="O219" i="1"/>
  <c r="N246" i="1"/>
  <c r="Y146" i="1"/>
  <c r="Y124" i="1"/>
  <c r="M491" i="1"/>
  <c r="N491" i="1"/>
  <c r="N469" i="1"/>
  <c r="M469" i="1"/>
  <c r="M447" i="1"/>
  <c r="N447" i="1"/>
  <c r="N381" i="1"/>
  <c r="N359" i="1"/>
  <c r="N271" i="1"/>
  <c r="M315" i="1"/>
  <c r="M425" i="1"/>
  <c r="N403" i="1"/>
  <c r="N293" i="1"/>
  <c r="M271" i="1"/>
  <c r="N425" i="1"/>
  <c r="M403" i="1"/>
  <c r="M381" i="1"/>
  <c r="N337" i="1"/>
  <c r="M359" i="1"/>
  <c r="M337" i="1"/>
  <c r="N315" i="1"/>
  <c r="M293" i="1"/>
  <c r="K278" i="1"/>
  <c r="X142" i="1"/>
  <c r="W134" i="1"/>
  <c r="X144" i="1"/>
  <c r="X145" i="1" s="1"/>
  <c r="N516" i="1"/>
  <c r="N497" i="1"/>
  <c r="M497" i="1"/>
  <c r="M475" i="1"/>
  <c r="M431" i="1"/>
  <c r="M409" i="1"/>
  <c r="M387" i="1"/>
  <c r="N277" i="1"/>
  <c r="M321" i="1"/>
  <c r="N475" i="1"/>
  <c r="N431" i="1"/>
  <c r="N387" i="1"/>
  <c r="M365" i="1"/>
  <c r="M277" i="1"/>
  <c r="N343" i="1"/>
  <c r="M343" i="1"/>
  <c r="N321" i="1"/>
  <c r="M453" i="1"/>
  <c r="N409" i="1"/>
  <c r="M299" i="1"/>
  <c r="N299" i="1"/>
  <c r="N365" i="1"/>
  <c r="N453" i="1"/>
  <c r="P20" i="1"/>
  <c r="O77" i="1"/>
  <c r="O161" i="1"/>
  <c r="O170" i="1"/>
  <c r="O224" i="1" s="1"/>
  <c r="O254" i="1" s="1"/>
  <c r="O86" i="1"/>
  <c r="O80" i="1"/>
  <c r="O158" i="1"/>
  <c r="O83" i="1"/>
  <c r="O167" i="1"/>
  <c r="O164" i="1"/>
  <c r="O218" i="1" s="1"/>
  <c r="O248" i="1" s="1"/>
  <c r="O71" i="1"/>
  <c r="O155" i="1"/>
  <c r="O74" i="1"/>
  <c r="N217" i="1"/>
  <c r="N247" i="1" s="1"/>
  <c r="N517" i="1"/>
  <c r="P4" i="1"/>
  <c r="O70" i="1"/>
  <c r="O154" i="1"/>
  <c r="O208" i="1" s="1"/>
  <c r="O76" i="1"/>
  <c r="O85" i="1"/>
  <c r="O82" i="1"/>
  <c r="O166" i="1"/>
  <c r="O220" i="1" s="1"/>
  <c r="O250" i="1" s="1"/>
  <c r="O160" i="1"/>
  <c r="O73" i="1"/>
  <c r="O79" i="1"/>
  <c r="O169" i="1"/>
  <c r="O163" i="1"/>
  <c r="O217" i="1" s="1"/>
  <c r="O247" i="1" s="1"/>
  <c r="O157" i="1"/>
  <c r="M244" i="1"/>
  <c r="N506" i="1"/>
  <c r="N462" i="1"/>
  <c r="M257" i="1"/>
  <c r="M481" i="1"/>
  <c r="M499" i="1" s="1"/>
  <c r="N481" i="1"/>
  <c r="N499" i="1" s="1"/>
  <c r="N504" i="1"/>
  <c r="N522" i="1" s="1"/>
  <c r="N523" i="1" s="1"/>
  <c r="N534" i="1" s="1"/>
  <c r="N258" i="1"/>
  <c r="N259" i="1" s="1"/>
  <c r="O504" i="1"/>
  <c r="O522" i="1" s="1"/>
  <c r="O523" i="1" s="1"/>
  <c r="O534" i="1" s="1"/>
  <c r="N505" i="1"/>
  <c r="N508" i="1"/>
  <c r="N208" i="1"/>
  <c r="M256" i="1"/>
  <c r="M480" i="1"/>
  <c r="M498" i="1" s="1"/>
  <c r="M260" i="1"/>
  <c r="M278" i="1" s="1"/>
  <c r="N509" i="1"/>
  <c r="N251" i="1"/>
  <c r="M254" i="1"/>
  <c r="N482" i="1"/>
  <c r="N500" i="1" s="1"/>
  <c r="N501" i="1" s="1"/>
  <c r="N533" i="1" s="1"/>
  <c r="M482" i="1"/>
  <c r="M500" i="1" s="1"/>
  <c r="M501" i="1" s="1"/>
  <c r="M533" i="1" s="1"/>
  <c r="O482" i="1"/>
  <c r="O500" i="1" s="1"/>
  <c r="O501" i="1" s="1"/>
  <c r="O533" i="1" s="1"/>
  <c r="M258" i="1"/>
  <c r="M259" i="1" s="1"/>
  <c r="O460" i="1"/>
  <c r="O478" i="1" s="1"/>
  <c r="O479" i="1" s="1"/>
  <c r="O532" i="1" s="1"/>
  <c r="N438" i="1"/>
  <c r="N456" i="1" s="1"/>
  <c r="N457" i="1" s="1"/>
  <c r="N531" i="1" s="1"/>
  <c r="O284" i="1"/>
  <c r="O302" i="1" s="1"/>
  <c r="O303" i="1" s="1"/>
  <c r="O524" i="1" s="1"/>
  <c r="M262" i="1"/>
  <c r="O416" i="1"/>
  <c r="O434" i="1" s="1"/>
  <c r="O435" i="1" s="1"/>
  <c r="O530" i="1" s="1"/>
  <c r="N328" i="1"/>
  <c r="N346" i="1" s="1"/>
  <c r="N347" i="1" s="1"/>
  <c r="N526" i="1" s="1"/>
  <c r="N460" i="1"/>
  <c r="N478" i="1" s="1"/>
  <c r="N479" i="1" s="1"/>
  <c r="N532" i="1" s="1"/>
  <c r="O438" i="1"/>
  <c r="O456" i="1" s="1"/>
  <c r="O457" i="1" s="1"/>
  <c r="O531" i="1" s="1"/>
  <c r="M438" i="1"/>
  <c r="M456" i="1" s="1"/>
  <c r="M457" i="1" s="1"/>
  <c r="M531" i="1" s="1"/>
  <c r="M394" i="1"/>
  <c r="M412" i="1" s="1"/>
  <c r="M413" i="1" s="1"/>
  <c r="M529" i="1" s="1"/>
  <c r="N350" i="1"/>
  <c r="N368" i="1" s="1"/>
  <c r="N369" i="1" s="1"/>
  <c r="N527" i="1" s="1"/>
  <c r="M372" i="1"/>
  <c r="M390" i="1" s="1"/>
  <c r="M391" i="1" s="1"/>
  <c r="M528" i="1" s="1"/>
  <c r="N372" i="1"/>
  <c r="N390" i="1" s="1"/>
  <c r="N391" i="1" s="1"/>
  <c r="N528" i="1" s="1"/>
  <c r="N306" i="1"/>
  <c r="N324" i="1" s="1"/>
  <c r="N325" i="1" s="1"/>
  <c r="N525" i="1" s="1"/>
  <c r="M306" i="1"/>
  <c r="M324" i="1" s="1"/>
  <c r="M325" i="1" s="1"/>
  <c r="M525" i="1" s="1"/>
  <c r="M328" i="1"/>
  <c r="M346" i="1" s="1"/>
  <c r="M347" i="1" s="1"/>
  <c r="M526" i="1" s="1"/>
  <c r="N416" i="1"/>
  <c r="N434" i="1" s="1"/>
  <c r="N435" i="1" s="1"/>
  <c r="N530" i="1" s="1"/>
  <c r="O394" i="1"/>
  <c r="O412" i="1" s="1"/>
  <c r="O413" i="1" s="1"/>
  <c r="O529" i="1" s="1"/>
  <c r="M416" i="1"/>
  <c r="M434" i="1" s="1"/>
  <c r="M435" i="1" s="1"/>
  <c r="M530" i="1" s="1"/>
  <c r="O350" i="1"/>
  <c r="O368" i="1" s="1"/>
  <c r="O369" i="1" s="1"/>
  <c r="O527" i="1" s="1"/>
  <c r="N394" i="1"/>
  <c r="N412" i="1" s="1"/>
  <c r="N413" i="1" s="1"/>
  <c r="N529" i="1" s="1"/>
  <c r="O262" i="1"/>
  <c r="O280" i="1" s="1"/>
  <c r="O281" i="1" s="1"/>
  <c r="M460" i="1"/>
  <c r="M478" i="1" s="1"/>
  <c r="M479" i="1" s="1"/>
  <c r="M532" i="1" s="1"/>
  <c r="N284" i="1"/>
  <c r="N302" i="1" s="1"/>
  <c r="N303" i="1" s="1"/>
  <c r="N524" i="1" s="1"/>
  <c r="M284" i="1"/>
  <c r="M302" i="1" s="1"/>
  <c r="M303" i="1" s="1"/>
  <c r="M524" i="1" s="1"/>
  <c r="N262" i="1"/>
  <c r="N280" i="1" s="1"/>
  <c r="N281" i="1" s="1"/>
  <c r="M350" i="1"/>
  <c r="M368" i="1" s="1"/>
  <c r="M369" i="1" s="1"/>
  <c r="M527" i="1" s="1"/>
  <c r="O372" i="1"/>
  <c r="O390" i="1" s="1"/>
  <c r="O391" i="1" s="1"/>
  <c r="O528" i="1" s="1"/>
  <c r="O306" i="1"/>
  <c r="O324" i="1" s="1"/>
  <c r="O325" i="1" s="1"/>
  <c r="O525" i="1" s="1"/>
  <c r="O328" i="1"/>
  <c r="O346" i="1" s="1"/>
  <c r="O347" i="1" s="1"/>
  <c r="O526" i="1" s="1"/>
  <c r="V143" i="1"/>
  <c r="M485" i="1"/>
  <c r="N485" i="1"/>
  <c r="M463" i="1"/>
  <c r="N463" i="1"/>
  <c r="N419" i="1"/>
  <c r="M265" i="1"/>
  <c r="N265" i="1"/>
  <c r="M331" i="1"/>
  <c r="N441" i="1"/>
  <c r="M441" i="1"/>
  <c r="M419" i="1"/>
  <c r="N397" i="1"/>
  <c r="M353" i="1"/>
  <c r="N375" i="1"/>
  <c r="N353" i="1"/>
  <c r="N287" i="1"/>
  <c r="M287" i="1"/>
  <c r="M397" i="1"/>
  <c r="M309" i="1"/>
  <c r="M375" i="1"/>
  <c r="N309" i="1"/>
  <c r="N331" i="1"/>
  <c r="M496" i="1" l="1"/>
  <c r="O496" i="1"/>
  <c r="N496" i="1"/>
  <c r="N474" i="1"/>
  <c r="O474" i="1"/>
  <c r="M474" i="1"/>
  <c r="N452" i="1"/>
  <c r="M342" i="1"/>
  <c r="N276" i="1"/>
  <c r="M386" i="1"/>
  <c r="N386" i="1"/>
  <c r="N320" i="1"/>
  <c r="O364" i="1"/>
  <c r="O452" i="1"/>
  <c r="O430" i="1"/>
  <c r="O386" i="1"/>
  <c r="N298" i="1"/>
  <c r="M364" i="1"/>
  <c r="O408" i="1"/>
  <c r="N364" i="1"/>
  <c r="O320" i="1"/>
  <c r="N430" i="1"/>
  <c r="O342" i="1"/>
  <c r="M320" i="1"/>
  <c r="M298" i="1"/>
  <c r="M408" i="1"/>
  <c r="N408" i="1"/>
  <c r="M452" i="1"/>
  <c r="O298" i="1"/>
  <c r="M430" i="1"/>
  <c r="M276" i="1"/>
  <c r="N342" i="1"/>
  <c r="O276" i="1"/>
  <c r="N515" i="1"/>
  <c r="N405" i="1"/>
  <c r="N361" i="1"/>
  <c r="N317" i="1"/>
  <c r="N383" i="1"/>
  <c r="N295" i="1"/>
  <c r="N339" i="1"/>
  <c r="N273" i="1"/>
  <c r="N427" i="1"/>
  <c r="N449" i="1"/>
  <c r="N493" i="1"/>
  <c r="N471" i="1"/>
  <c r="N511" i="1"/>
  <c r="O511" i="1"/>
  <c r="Y142" i="1"/>
  <c r="X125" i="1"/>
  <c r="X150" i="1"/>
  <c r="Z10" i="1"/>
  <c r="Y101" i="1"/>
  <c r="Y137" i="1" s="1"/>
  <c r="Y104" i="1"/>
  <c r="Y140" i="1" s="1"/>
  <c r="Y95" i="1"/>
  <c r="Y131" i="1" s="1"/>
  <c r="Y89" i="1"/>
  <c r="Y173" i="1"/>
  <c r="Y188" i="1"/>
  <c r="Y179" i="1"/>
  <c r="Y92" i="1"/>
  <c r="Y128" i="1" s="1"/>
  <c r="Y185" i="1"/>
  <c r="Y182" i="1"/>
  <c r="Y98" i="1"/>
  <c r="Y134" i="1" s="1"/>
  <c r="Y176" i="1"/>
  <c r="M280" i="1"/>
  <c r="M281" i="1" s="1"/>
  <c r="O223" i="1"/>
  <c r="O226" i="1"/>
  <c r="O238" i="1"/>
  <c r="O256" i="1" s="1"/>
  <c r="O249" i="1"/>
  <c r="P472" i="1"/>
  <c r="N226" i="1"/>
  <c r="N238" i="1"/>
  <c r="O211" i="1"/>
  <c r="Q4" i="1"/>
  <c r="P76" i="1"/>
  <c r="P70" i="1"/>
  <c r="P154" i="1"/>
  <c r="P208" i="1" s="1"/>
  <c r="P85" i="1"/>
  <c r="P82" i="1"/>
  <c r="P160" i="1"/>
  <c r="P214" i="1" s="1"/>
  <c r="P244" i="1" s="1"/>
  <c r="P73" i="1"/>
  <c r="P79" i="1"/>
  <c r="P166" i="1"/>
  <c r="P220" i="1" s="1"/>
  <c r="P250" i="1" s="1"/>
  <c r="P169" i="1"/>
  <c r="P223" i="1" s="1"/>
  <c r="P253" i="1" s="1"/>
  <c r="P157" i="1"/>
  <c r="P211" i="1" s="1"/>
  <c r="P241" i="1" s="1"/>
  <c r="P163" i="1"/>
  <c r="P217" i="1" s="1"/>
  <c r="P247" i="1" s="1"/>
  <c r="O212" i="1"/>
  <c r="O215" i="1"/>
  <c r="P516" i="1"/>
  <c r="O510" i="1"/>
  <c r="P510" i="1"/>
  <c r="Q510" i="1"/>
  <c r="N510" i="1"/>
  <c r="N378" i="1"/>
  <c r="P466" i="1"/>
  <c r="O422" i="1"/>
  <c r="Q400" i="1"/>
  <c r="O312" i="1"/>
  <c r="Q290" i="1"/>
  <c r="O356" i="1"/>
  <c r="O268" i="1"/>
  <c r="P268" i="1"/>
  <c r="P290" i="1"/>
  <c r="O466" i="1"/>
  <c r="N422" i="1"/>
  <c r="N334" i="1"/>
  <c r="O378" i="1"/>
  <c r="P312" i="1"/>
  <c r="O290" i="1"/>
  <c r="P334" i="1"/>
  <c r="N312" i="1"/>
  <c r="N356" i="1"/>
  <c r="N290" i="1"/>
  <c r="N488" i="1"/>
  <c r="N444" i="1"/>
  <c r="Q466" i="1"/>
  <c r="Q334" i="1"/>
  <c r="N268" i="1"/>
  <c r="Q378" i="1"/>
  <c r="P356" i="1"/>
  <c r="O334" i="1"/>
  <c r="O488" i="1"/>
  <c r="N400" i="1"/>
  <c r="O400" i="1"/>
  <c r="P488" i="1"/>
  <c r="P400" i="1"/>
  <c r="Q356" i="1"/>
  <c r="O444" i="1"/>
  <c r="P444" i="1"/>
  <c r="P378" i="1"/>
  <c r="P422" i="1"/>
  <c r="N466" i="1"/>
  <c r="O450" i="1"/>
  <c r="P428" i="1"/>
  <c r="O274" i="1"/>
  <c r="O472" i="1"/>
  <c r="P494" i="1"/>
  <c r="N503" i="1"/>
  <c r="N521" i="1" s="1"/>
  <c r="N257" i="1"/>
  <c r="N393" i="1"/>
  <c r="N411" i="1" s="1"/>
  <c r="N261" i="1"/>
  <c r="N349" i="1"/>
  <c r="N367" i="1" s="1"/>
  <c r="N437" i="1"/>
  <c r="N455" i="1" s="1"/>
  <c r="N371" i="1"/>
  <c r="N389" i="1" s="1"/>
  <c r="N283" i="1"/>
  <c r="N301" i="1" s="1"/>
  <c r="N327" i="1"/>
  <c r="N345" i="1" s="1"/>
  <c r="N415" i="1"/>
  <c r="N433" i="1" s="1"/>
  <c r="N305" i="1"/>
  <c r="N323" i="1" s="1"/>
  <c r="N459" i="1"/>
  <c r="N477" i="1" s="1"/>
  <c r="N250" i="1"/>
  <c r="Z135" i="1"/>
  <c r="AD117" i="1"/>
  <c r="Z141" i="1"/>
  <c r="AD123" i="1"/>
  <c r="Y152" i="1"/>
  <c r="Z127" i="1"/>
  <c r="AD109" i="1"/>
  <c r="Z130" i="1"/>
  <c r="AD112" i="1"/>
  <c r="R24" i="1"/>
  <c r="Q156" i="1"/>
  <c r="Q210" i="1" s="1"/>
  <c r="Q81" i="1"/>
  <c r="Q171" i="1"/>
  <c r="Q78" i="1"/>
  <c r="Q168" i="1"/>
  <c r="Q222" i="1" s="1"/>
  <c r="Q252" i="1" s="1"/>
  <c r="Q516" i="1" s="1"/>
  <c r="Q165" i="1"/>
  <c r="Q87" i="1"/>
  <c r="Q75" i="1"/>
  <c r="Q159" i="1"/>
  <c r="Q72" i="1"/>
  <c r="Q84" i="1"/>
  <c r="Q162" i="1"/>
  <c r="Q216" i="1" s="1"/>
  <c r="Q246" i="1" s="1"/>
  <c r="O214" i="1"/>
  <c r="O512" i="1"/>
  <c r="N512" i="1"/>
  <c r="O255" i="1"/>
  <c r="Z138" i="1"/>
  <c r="AD120" i="1"/>
  <c r="Z133" i="1"/>
  <c r="AD115" i="1"/>
  <c r="AD121" i="1"/>
  <c r="Z139" i="1"/>
  <c r="M490" i="1"/>
  <c r="O490" i="1"/>
  <c r="N490" i="1"/>
  <c r="M468" i="1"/>
  <c r="O468" i="1"/>
  <c r="N468" i="1"/>
  <c r="N424" i="1"/>
  <c r="O402" i="1"/>
  <c r="M402" i="1"/>
  <c r="N380" i="1"/>
  <c r="N270" i="1"/>
  <c r="O336" i="1"/>
  <c r="M292" i="1"/>
  <c r="M270" i="1"/>
  <c r="O358" i="1"/>
  <c r="N314" i="1"/>
  <c r="O380" i="1"/>
  <c r="O292" i="1"/>
  <c r="N292" i="1"/>
  <c r="O270" i="1"/>
  <c r="M446" i="1"/>
  <c r="N402" i="1"/>
  <c r="M336" i="1"/>
  <c r="N336" i="1"/>
  <c r="M380" i="1"/>
  <c r="N446" i="1"/>
  <c r="N358" i="1"/>
  <c r="M358" i="1"/>
  <c r="O314" i="1"/>
  <c r="M314" i="1"/>
  <c r="O424" i="1"/>
  <c r="O446" i="1"/>
  <c r="M424" i="1"/>
  <c r="O221" i="1"/>
  <c r="Q20" i="1"/>
  <c r="P71" i="1"/>
  <c r="P83" i="1"/>
  <c r="P170" i="1"/>
  <c r="P77" i="1"/>
  <c r="P167" i="1"/>
  <c r="P221" i="1" s="1"/>
  <c r="P251" i="1" s="1"/>
  <c r="P80" i="1"/>
  <c r="P155" i="1"/>
  <c r="P209" i="1" s="1"/>
  <c r="P161" i="1"/>
  <c r="P215" i="1" s="1"/>
  <c r="P245" i="1" s="1"/>
  <c r="P158" i="1"/>
  <c r="P212" i="1" s="1"/>
  <c r="P242" i="1" s="1"/>
  <c r="P86" i="1"/>
  <c r="P74" i="1"/>
  <c r="P164" i="1"/>
  <c r="P218" i="1" s="1"/>
  <c r="P248" i="1" s="1"/>
  <c r="P362" i="1"/>
  <c r="Z148" i="1"/>
  <c r="Z152" i="1" s="1"/>
  <c r="Z126" i="1"/>
  <c r="AD108" i="1"/>
  <c r="Z132" i="1"/>
  <c r="AD114" i="1"/>
  <c r="Z147" i="1"/>
  <c r="AD147" i="1" s="1"/>
  <c r="AD107" i="1"/>
  <c r="Z136" i="1"/>
  <c r="AD118" i="1"/>
  <c r="P210" i="1"/>
  <c r="M486" i="1"/>
  <c r="N486" i="1"/>
  <c r="M464" i="1"/>
  <c r="N464" i="1"/>
  <c r="M442" i="1"/>
  <c r="M420" i="1"/>
  <c r="N288" i="1"/>
  <c r="M266" i="1"/>
  <c r="N332" i="1"/>
  <c r="M398" i="1"/>
  <c r="M354" i="1"/>
  <c r="M310" i="1"/>
  <c r="N310" i="1"/>
  <c r="N266" i="1"/>
  <c r="M288" i="1"/>
  <c r="N420" i="1"/>
  <c r="N398" i="1"/>
  <c r="N442" i="1"/>
  <c r="M376" i="1"/>
  <c r="N354" i="1"/>
  <c r="N376" i="1"/>
  <c r="M332" i="1"/>
  <c r="O209" i="1"/>
  <c r="O516" i="1"/>
  <c r="P450" i="1"/>
  <c r="P340" i="1"/>
  <c r="O340" i="1"/>
  <c r="P384" i="1"/>
  <c r="O428" i="1"/>
  <c r="O384" i="1"/>
  <c r="Q428" i="1"/>
  <c r="O406" i="1"/>
  <c r="P296" i="1"/>
  <c r="N518" i="1"/>
  <c r="O518" i="1"/>
  <c r="M489" i="1"/>
  <c r="O489" i="1"/>
  <c r="P489" i="1"/>
  <c r="N489" i="1"/>
  <c r="M467" i="1"/>
  <c r="N467" i="1"/>
  <c r="O467" i="1"/>
  <c r="P467" i="1"/>
  <c r="N445" i="1"/>
  <c r="O445" i="1"/>
  <c r="N379" i="1"/>
  <c r="N313" i="1"/>
  <c r="P423" i="1"/>
  <c r="P335" i="1"/>
  <c r="O335" i="1"/>
  <c r="P357" i="1"/>
  <c r="P313" i="1"/>
  <c r="M445" i="1"/>
  <c r="P445" i="1"/>
  <c r="O423" i="1"/>
  <c r="O357" i="1"/>
  <c r="M401" i="1"/>
  <c r="P401" i="1"/>
  <c r="O401" i="1"/>
  <c r="N357" i="1"/>
  <c r="P291" i="1"/>
  <c r="M269" i="1"/>
  <c r="O291" i="1"/>
  <c r="M357" i="1"/>
  <c r="O269" i="1"/>
  <c r="N291" i="1"/>
  <c r="M379" i="1"/>
  <c r="M291" i="1"/>
  <c r="P269" i="1"/>
  <c r="N269" i="1"/>
  <c r="N423" i="1"/>
  <c r="O313" i="1"/>
  <c r="P379" i="1"/>
  <c r="N335" i="1"/>
  <c r="N401" i="1"/>
  <c r="M313" i="1"/>
  <c r="O379" i="1"/>
  <c r="M335" i="1"/>
  <c r="M423" i="1"/>
  <c r="O243" i="1"/>
  <c r="W143" i="1"/>
  <c r="W12" i="1"/>
  <c r="Z129" i="1"/>
  <c r="AD111" i="1"/>
  <c r="Y144" i="1"/>
  <c r="Z146" i="1"/>
  <c r="AD146" i="1" s="1"/>
  <c r="Z124" i="1"/>
  <c r="AD106" i="1"/>
  <c r="U8" i="1"/>
  <c r="V8" i="1" l="1"/>
  <c r="AD129" i="1"/>
  <c r="C351" i="19" s="1"/>
  <c r="P228" i="1"/>
  <c r="P240" i="1"/>
  <c r="R20" i="1"/>
  <c r="Q155" i="1"/>
  <c r="Q74" i="1"/>
  <c r="Q158" i="1"/>
  <c r="Q86" i="1"/>
  <c r="Q161" i="1"/>
  <c r="Q215" i="1" s="1"/>
  <c r="Q245" i="1" s="1"/>
  <c r="Q164" i="1"/>
  <c r="Q218" i="1" s="1"/>
  <c r="Q248" i="1" s="1"/>
  <c r="Q71" i="1"/>
  <c r="Q170" i="1"/>
  <c r="Q224" i="1" s="1"/>
  <c r="Q254" i="1" s="1"/>
  <c r="Q83" i="1"/>
  <c r="Q80" i="1"/>
  <c r="Q77" i="1"/>
  <c r="Q167" i="1"/>
  <c r="Q336" i="1"/>
  <c r="P292" i="1"/>
  <c r="Y145" i="1"/>
  <c r="AD144" i="1"/>
  <c r="X12" i="1"/>
  <c r="Q362" i="1"/>
  <c r="O251" i="1"/>
  <c r="P270" i="1"/>
  <c r="P380" i="1"/>
  <c r="P446" i="1"/>
  <c r="Q314" i="1"/>
  <c r="Q270" i="1"/>
  <c r="Q358" i="1"/>
  <c r="P468" i="1"/>
  <c r="P424" i="1"/>
  <c r="AD139" i="1"/>
  <c r="Q512" i="1"/>
  <c r="O244" i="1"/>
  <c r="Q225" i="1"/>
  <c r="AD127" i="1"/>
  <c r="AD141" i="1"/>
  <c r="G351" i="19" s="1"/>
  <c r="N514" i="1"/>
  <c r="P514" i="1"/>
  <c r="O514" i="1"/>
  <c r="O448" i="1"/>
  <c r="N448" i="1"/>
  <c r="P272" i="1"/>
  <c r="P382" i="1"/>
  <c r="N382" i="1"/>
  <c r="N316" i="1"/>
  <c r="O404" i="1"/>
  <c r="O426" i="1"/>
  <c r="O338" i="1"/>
  <c r="P448" i="1"/>
  <c r="N426" i="1"/>
  <c r="N404" i="1"/>
  <c r="P316" i="1"/>
  <c r="N338" i="1"/>
  <c r="N360" i="1"/>
  <c r="P294" i="1"/>
  <c r="P426" i="1"/>
  <c r="P338" i="1"/>
  <c r="N294" i="1"/>
  <c r="O294" i="1"/>
  <c r="P360" i="1"/>
  <c r="P404" i="1"/>
  <c r="O272" i="1"/>
  <c r="P492" i="1"/>
  <c r="N272" i="1"/>
  <c r="N492" i="1"/>
  <c r="P470" i="1"/>
  <c r="O316" i="1"/>
  <c r="O360" i="1"/>
  <c r="N470" i="1"/>
  <c r="O382" i="1"/>
  <c r="O492" i="1"/>
  <c r="O470" i="1"/>
  <c r="N279" i="1"/>
  <c r="Q296" i="1"/>
  <c r="Z142" i="1"/>
  <c r="AD142" i="1" s="1"/>
  <c r="AD124" i="1"/>
  <c r="O507" i="1"/>
  <c r="P507" i="1"/>
  <c r="P463" i="1"/>
  <c r="P441" i="1"/>
  <c r="O309" i="1"/>
  <c r="O419" i="1"/>
  <c r="O353" i="1"/>
  <c r="O287" i="1"/>
  <c r="P331" i="1"/>
  <c r="P375" i="1"/>
  <c r="P287" i="1"/>
  <c r="P485" i="1"/>
  <c r="P309" i="1"/>
  <c r="O441" i="1"/>
  <c r="O331" i="1"/>
  <c r="O265" i="1"/>
  <c r="O397" i="1"/>
  <c r="O375" i="1"/>
  <c r="P419" i="1"/>
  <c r="O463" i="1"/>
  <c r="P397" i="1"/>
  <c r="P353" i="1"/>
  <c r="O485" i="1"/>
  <c r="P265" i="1"/>
  <c r="Q494" i="1"/>
  <c r="Q472" i="1"/>
  <c r="AD136" i="1"/>
  <c r="AD132" i="1"/>
  <c r="D351" i="19" s="1"/>
  <c r="Q384" i="1"/>
  <c r="P358" i="1"/>
  <c r="Q380" i="1"/>
  <c r="Q468" i="1"/>
  <c r="Q292" i="1"/>
  <c r="P314" i="1"/>
  <c r="AD138" i="1"/>
  <c r="F351" i="19" s="1"/>
  <c r="Q219" i="1"/>
  <c r="AD148" i="1"/>
  <c r="AD152" i="1" s="1"/>
  <c r="Q444" i="1"/>
  <c r="Q488" i="1"/>
  <c r="Q268" i="1"/>
  <c r="Q422" i="1"/>
  <c r="O245" i="1"/>
  <c r="Q70" i="1"/>
  <c r="R4" i="1"/>
  <c r="Q76" i="1"/>
  <c r="Q154" i="1"/>
  <c r="Q208" i="1" s="1"/>
  <c r="Q85" i="1"/>
  <c r="Q82" i="1"/>
  <c r="Q160" i="1"/>
  <c r="Q166" i="1"/>
  <c r="Q73" i="1"/>
  <c r="Q169" i="1"/>
  <c r="Q79" i="1"/>
  <c r="Q157" i="1"/>
  <c r="Q211" i="1" s="1"/>
  <c r="Q241" i="1" s="1"/>
  <c r="Q163" i="1"/>
  <c r="O502" i="1"/>
  <c r="O520" i="1" s="1"/>
  <c r="N256" i="1"/>
  <c r="N502" i="1"/>
  <c r="N520" i="1" s="1"/>
  <c r="N414" i="1"/>
  <c r="N432" i="1" s="1"/>
  <c r="O326" i="1"/>
  <c r="O344" i="1" s="1"/>
  <c r="N282" i="1"/>
  <c r="N300" i="1" s="1"/>
  <c r="O414" i="1"/>
  <c r="O432" i="1" s="1"/>
  <c r="O304" i="1"/>
  <c r="O322" i="1" s="1"/>
  <c r="N436" i="1"/>
  <c r="N454" i="1" s="1"/>
  <c r="N260" i="1"/>
  <c r="N326" i="1"/>
  <c r="N344" i="1" s="1"/>
  <c r="N392" i="1"/>
  <c r="N410" i="1" s="1"/>
  <c r="O458" i="1"/>
  <c r="O476" i="1" s="1"/>
  <c r="O370" i="1"/>
  <c r="O388" i="1" s="1"/>
  <c r="N458" i="1"/>
  <c r="N476" i="1" s="1"/>
  <c r="O260" i="1"/>
  <c r="O278" i="1" s="1"/>
  <c r="O436" i="1"/>
  <c r="O454" i="1" s="1"/>
  <c r="N480" i="1"/>
  <c r="N498" i="1" s="1"/>
  <c r="O348" i="1"/>
  <c r="O366" i="1" s="1"/>
  <c r="N304" i="1"/>
  <c r="N322" i="1" s="1"/>
  <c r="N348" i="1"/>
  <c r="N366" i="1" s="1"/>
  <c r="P414" i="1"/>
  <c r="P432" i="1" s="1"/>
  <c r="O282" i="1"/>
  <c r="O300" i="1" s="1"/>
  <c r="O480" i="1"/>
  <c r="O498" i="1" s="1"/>
  <c r="N370" i="1"/>
  <c r="N388" i="1" s="1"/>
  <c r="O392" i="1"/>
  <c r="O410" i="1" s="1"/>
  <c r="O253" i="1"/>
  <c r="Y125" i="1"/>
  <c r="Y150" i="1"/>
  <c r="Z101" i="1"/>
  <c r="Z95" i="1"/>
  <c r="Z104" i="1"/>
  <c r="Z185" i="1"/>
  <c r="AD185" i="1" s="1"/>
  <c r="Z173" i="1"/>
  <c r="AD173" i="1" s="1"/>
  <c r="Z89" i="1"/>
  <c r="Z188" i="1"/>
  <c r="AD188" i="1" s="1"/>
  <c r="Z92" i="1"/>
  <c r="Z179" i="1"/>
  <c r="AD179" i="1" s="1"/>
  <c r="Z98" i="1"/>
  <c r="Z182" i="1"/>
  <c r="AD182" i="1" s="1"/>
  <c r="Z176" i="1"/>
  <c r="AD176" i="1" s="1"/>
  <c r="P511" i="1"/>
  <c r="O227" i="1"/>
  <c r="O239" i="1"/>
  <c r="P490" i="1"/>
  <c r="P512" i="1"/>
  <c r="Q213" i="1"/>
  <c r="Q450" i="1"/>
  <c r="Q340" i="1"/>
  <c r="Q318" i="1"/>
  <c r="R362" i="1"/>
  <c r="Q228" i="1"/>
  <c r="Q229" i="1" s="1"/>
  <c r="Q240" i="1"/>
  <c r="Q258" i="1" s="1"/>
  <c r="Q259" i="1" s="1"/>
  <c r="AD130" i="1"/>
  <c r="AD135" i="1"/>
  <c r="E351" i="19" s="1"/>
  <c r="R494" i="1"/>
  <c r="Q406" i="1"/>
  <c r="P226" i="1"/>
  <c r="P238" i="1"/>
  <c r="P256" i="1" s="1"/>
  <c r="R516" i="1"/>
  <c r="Z144" i="1"/>
  <c r="Z145" i="1" s="1"/>
  <c r="AD126" i="1"/>
  <c r="B351" i="19" s="1"/>
  <c r="P227" i="1"/>
  <c r="P239" i="1"/>
  <c r="P257" i="1" s="1"/>
  <c r="P224" i="1"/>
  <c r="Q402" i="1"/>
  <c r="Q424" i="1"/>
  <c r="P402" i="1"/>
  <c r="Q446" i="1"/>
  <c r="P336" i="1"/>
  <c r="Q490" i="1"/>
  <c r="AD133" i="1"/>
  <c r="O519" i="1"/>
  <c r="P519" i="1"/>
  <c r="O497" i="1"/>
  <c r="P497" i="1"/>
  <c r="P321" i="1"/>
  <c r="P299" i="1"/>
  <c r="O475" i="1"/>
  <c r="P453" i="1"/>
  <c r="O409" i="1"/>
  <c r="O453" i="1"/>
  <c r="P343" i="1"/>
  <c r="O343" i="1"/>
  <c r="P409" i="1"/>
  <c r="O431" i="1"/>
  <c r="O321" i="1"/>
  <c r="O299" i="1"/>
  <c r="P475" i="1"/>
  <c r="O365" i="1"/>
  <c r="P277" i="1"/>
  <c r="P365" i="1"/>
  <c r="P387" i="1"/>
  <c r="O277" i="1"/>
  <c r="O387" i="1"/>
  <c r="P431" i="1"/>
  <c r="S24" i="1"/>
  <c r="R78" i="1"/>
  <c r="R156" i="1"/>
  <c r="R210" i="1" s="1"/>
  <c r="R75" i="1"/>
  <c r="R165" i="1"/>
  <c r="R219" i="1" s="1"/>
  <c r="R249" i="1" s="1"/>
  <c r="R72" i="1"/>
  <c r="R87" i="1"/>
  <c r="R168" i="1"/>
  <c r="R222" i="1" s="1"/>
  <c r="R252" i="1" s="1"/>
  <c r="R450" i="1" s="1"/>
  <c r="R81" i="1"/>
  <c r="R162" i="1"/>
  <c r="R216" i="1" s="1"/>
  <c r="R84" i="1"/>
  <c r="R171" i="1"/>
  <c r="R225" i="1" s="1"/>
  <c r="R255" i="1" s="1"/>
  <c r="R159" i="1"/>
  <c r="R213" i="1" s="1"/>
  <c r="R243" i="1" s="1"/>
  <c r="Q274" i="1"/>
  <c r="Q312" i="1"/>
  <c r="O242" i="1"/>
  <c r="O241" i="1"/>
  <c r="R340" i="1"/>
  <c r="O513" i="1"/>
  <c r="P513" i="1"/>
  <c r="P469" i="1"/>
  <c r="P293" i="1"/>
  <c r="P315" i="1"/>
  <c r="O293" i="1"/>
  <c r="O425" i="1"/>
  <c r="O469" i="1"/>
  <c r="O447" i="1"/>
  <c r="O403" i="1"/>
  <c r="P425" i="1"/>
  <c r="P271" i="1"/>
  <c r="O315" i="1"/>
  <c r="P359" i="1"/>
  <c r="P337" i="1"/>
  <c r="O491" i="1"/>
  <c r="P381" i="1"/>
  <c r="O381" i="1"/>
  <c r="O271" i="1"/>
  <c r="P491" i="1"/>
  <c r="O359" i="1"/>
  <c r="P447" i="1"/>
  <c r="P403" i="1"/>
  <c r="O337" i="1"/>
  <c r="X143" i="1"/>
  <c r="P307" i="1" l="1"/>
  <c r="O373" i="1"/>
  <c r="P285" i="1"/>
  <c r="R351" i="1"/>
  <c r="O285" i="1"/>
  <c r="O417" i="1"/>
  <c r="P373" i="1"/>
  <c r="P483" i="1"/>
  <c r="Q483" i="1"/>
  <c r="O461" i="1"/>
  <c r="P329" i="1"/>
  <c r="O439" i="1"/>
  <c r="Q351" i="1"/>
  <c r="Q263" i="1"/>
  <c r="O307" i="1"/>
  <c r="Q395" i="1"/>
  <c r="O483" i="1"/>
  <c r="Q439" i="1"/>
  <c r="Q285" i="1"/>
  <c r="Q417" i="1"/>
  <c r="P351" i="1"/>
  <c r="P263" i="1"/>
  <c r="R373" i="1"/>
  <c r="O395" i="1"/>
  <c r="Q329" i="1"/>
  <c r="O351" i="1"/>
  <c r="P439" i="1"/>
  <c r="P395" i="1"/>
  <c r="O329" i="1"/>
  <c r="O263" i="1"/>
  <c r="Q373" i="1"/>
  <c r="Q461" i="1"/>
  <c r="Q307" i="1"/>
  <c r="P417" i="1"/>
  <c r="P461" i="1"/>
  <c r="P505" i="1"/>
  <c r="Q505" i="1"/>
  <c r="O505" i="1"/>
  <c r="R505" i="1"/>
  <c r="O264" i="1"/>
  <c r="P352" i="1"/>
  <c r="P308" i="1"/>
  <c r="P330" i="1"/>
  <c r="O484" i="1"/>
  <c r="O440" i="1"/>
  <c r="P396" i="1"/>
  <c r="P374" i="1"/>
  <c r="P264" i="1"/>
  <c r="O418" i="1"/>
  <c r="P484" i="1"/>
  <c r="O330" i="1"/>
  <c r="O374" i="1"/>
  <c r="O308" i="1"/>
  <c r="P418" i="1"/>
  <c r="O286" i="1"/>
  <c r="P462" i="1"/>
  <c r="O396" i="1"/>
  <c r="O352" i="1"/>
  <c r="P286" i="1"/>
  <c r="P440" i="1"/>
  <c r="P506" i="1"/>
  <c r="O462" i="1"/>
  <c r="O506" i="1"/>
  <c r="R228" i="1"/>
  <c r="R229" i="1" s="1"/>
  <c r="R240" i="1"/>
  <c r="R258" i="1" s="1"/>
  <c r="R259" i="1" s="1"/>
  <c r="Z128" i="1"/>
  <c r="AD92" i="1"/>
  <c r="O451" i="1"/>
  <c r="P341" i="1"/>
  <c r="P297" i="1"/>
  <c r="O363" i="1"/>
  <c r="O297" i="1"/>
  <c r="P407" i="1"/>
  <c r="P385" i="1"/>
  <c r="O341" i="1"/>
  <c r="P495" i="1"/>
  <c r="P429" i="1"/>
  <c r="O407" i="1"/>
  <c r="P275" i="1"/>
  <c r="O385" i="1"/>
  <c r="O275" i="1"/>
  <c r="P451" i="1"/>
  <c r="O429" i="1"/>
  <c r="P363" i="1"/>
  <c r="P319" i="1"/>
  <c r="O319" i="1"/>
  <c r="O495" i="1"/>
  <c r="O473" i="1"/>
  <c r="P473" i="1"/>
  <c r="O517" i="1"/>
  <c r="P517" i="1"/>
  <c r="P392" i="1"/>
  <c r="P410" i="1" s="1"/>
  <c r="P480" i="1"/>
  <c r="P498" i="1" s="1"/>
  <c r="P282" i="1"/>
  <c r="P300" i="1" s="1"/>
  <c r="P458" i="1"/>
  <c r="P476" i="1" s="1"/>
  <c r="Q223" i="1"/>
  <c r="R70" i="1"/>
  <c r="S4" i="1"/>
  <c r="R76" i="1"/>
  <c r="R85" i="1"/>
  <c r="R154" i="1"/>
  <c r="R208" i="1" s="1"/>
  <c r="R82" i="1"/>
  <c r="R160" i="1"/>
  <c r="R214" i="1" s="1"/>
  <c r="R244" i="1" s="1"/>
  <c r="R166" i="1"/>
  <c r="R220" i="1" s="1"/>
  <c r="R250" i="1" s="1"/>
  <c r="R73" i="1"/>
  <c r="R169" i="1"/>
  <c r="R223" i="1" s="1"/>
  <c r="R253" i="1" s="1"/>
  <c r="R79" i="1"/>
  <c r="R163" i="1"/>
  <c r="R217" i="1" s="1"/>
  <c r="R247" i="1" s="1"/>
  <c r="R157" i="1"/>
  <c r="R211" i="1" s="1"/>
  <c r="R241" i="1" s="1"/>
  <c r="Q255" i="1"/>
  <c r="O317" i="1"/>
  <c r="O449" i="1"/>
  <c r="O515" i="1"/>
  <c r="P273" i="1"/>
  <c r="O405" i="1"/>
  <c r="O361" i="1"/>
  <c r="P493" i="1"/>
  <c r="O427" i="1"/>
  <c r="P515" i="1"/>
  <c r="O339" i="1"/>
  <c r="P383" i="1"/>
  <c r="P295" i="1"/>
  <c r="O383" i="1"/>
  <c r="P427" i="1"/>
  <c r="P471" i="1"/>
  <c r="P361" i="1"/>
  <c r="O295" i="1"/>
  <c r="O471" i="1"/>
  <c r="P317" i="1"/>
  <c r="P339" i="1"/>
  <c r="O273" i="1"/>
  <c r="O493" i="1"/>
  <c r="P449" i="1"/>
  <c r="P405" i="1"/>
  <c r="Q209" i="1"/>
  <c r="P229" i="1"/>
  <c r="R246" i="1"/>
  <c r="R274" i="1"/>
  <c r="Q243" i="1"/>
  <c r="Z140" i="1"/>
  <c r="AD104" i="1"/>
  <c r="Y143" i="1"/>
  <c r="R428" i="1"/>
  <c r="P370" i="1"/>
  <c r="P388" i="1" s="1"/>
  <c r="P348" i="1"/>
  <c r="P366" i="1" s="1"/>
  <c r="P436" i="1"/>
  <c r="P454" i="1" s="1"/>
  <c r="Q217" i="1"/>
  <c r="Y12" i="1"/>
  <c r="Q221" i="1"/>
  <c r="Q298" i="1"/>
  <c r="Q276" i="1"/>
  <c r="S20" i="1"/>
  <c r="R83" i="1"/>
  <c r="R77" i="1"/>
  <c r="R170" i="1"/>
  <c r="R167" i="1"/>
  <c r="R221" i="1" s="1"/>
  <c r="R251" i="1" s="1"/>
  <c r="R155" i="1"/>
  <c r="R209" i="1" s="1"/>
  <c r="R158" i="1"/>
  <c r="R212" i="1" s="1"/>
  <c r="R242" i="1" s="1"/>
  <c r="R161" i="1"/>
  <c r="R215" i="1" s="1"/>
  <c r="R71" i="1"/>
  <c r="R74" i="1"/>
  <c r="R86" i="1"/>
  <c r="R80" i="1"/>
  <c r="R164" i="1"/>
  <c r="R218" i="1" s="1"/>
  <c r="T24" i="1"/>
  <c r="S84" i="1"/>
  <c r="S168" i="1"/>
  <c r="S222" i="1" s="1"/>
  <c r="S252" i="1" s="1"/>
  <c r="S171" i="1"/>
  <c r="S225" i="1" s="1"/>
  <c r="S255" i="1" s="1"/>
  <c r="S78" i="1"/>
  <c r="S81" i="1"/>
  <c r="S165" i="1"/>
  <c r="S219" i="1" s="1"/>
  <c r="S249" i="1" s="1"/>
  <c r="S87" i="1"/>
  <c r="S162" i="1"/>
  <c r="S216" i="1" s="1"/>
  <c r="S246" i="1" s="1"/>
  <c r="S159" i="1"/>
  <c r="S213" i="1" s="1"/>
  <c r="S243" i="1" s="1"/>
  <c r="S72" i="1"/>
  <c r="S156" i="1"/>
  <c r="S210" i="1" s="1"/>
  <c r="S75" i="1"/>
  <c r="P254" i="1"/>
  <c r="O257" i="1"/>
  <c r="P481" i="1"/>
  <c r="P499" i="1" s="1"/>
  <c r="O481" i="1"/>
  <c r="O499" i="1" s="1"/>
  <c r="O415" i="1"/>
  <c r="O433" i="1" s="1"/>
  <c r="P393" i="1"/>
  <c r="P411" i="1" s="1"/>
  <c r="O393" i="1"/>
  <c r="O411" i="1" s="1"/>
  <c r="O283" i="1"/>
  <c r="O301" i="1" s="1"/>
  <c r="O459" i="1"/>
  <c r="O477" i="1" s="1"/>
  <c r="P327" i="1"/>
  <c r="P345" i="1" s="1"/>
  <c r="P437" i="1"/>
  <c r="P455" i="1" s="1"/>
  <c r="O371" i="1"/>
  <c r="O389" i="1" s="1"/>
  <c r="O305" i="1"/>
  <c r="O323" i="1" s="1"/>
  <c r="O261" i="1"/>
  <c r="P459" i="1"/>
  <c r="P477" i="1" s="1"/>
  <c r="P415" i="1"/>
  <c r="P433" i="1" s="1"/>
  <c r="O503" i="1"/>
  <c r="O521" i="1" s="1"/>
  <c r="P349" i="1"/>
  <c r="P367" i="1" s="1"/>
  <c r="O327" i="1"/>
  <c r="O345" i="1" s="1"/>
  <c r="P261" i="1"/>
  <c r="P279" i="1" s="1"/>
  <c r="P503" i="1"/>
  <c r="P521" i="1" s="1"/>
  <c r="P305" i="1"/>
  <c r="P323" i="1" s="1"/>
  <c r="O349" i="1"/>
  <c r="O367" i="1" s="1"/>
  <c r="P371" i="1"/>
  <c r="P389" i="1" s="1"/>
  <c r="O437" i="1"/>
  <c r="O455" i="1" s="1"/>
  <c r="P283" i="1"/>
  <c r="P301" i="1" s="1"/>
  <c r="Z134" i="1"/>
  <c r="AD98" i="1"/>
  <c r="Z125" i="1"/>
  <c r="Z150" i="1"/>
  <c r="AD150" i="1" s="1"/>
  <c r="AD89" i="1"/>
  <c r="Z131" i="1"/>
  <c r="AD95" i="1"/>
  <c r="P260" i="1"/>
  <c r="P278" i="1" s="1"/>
  <c r="P502" i="1"/>
  <c r="P520" i="1" s="1"/>
  <c r="Q220" i="1"/>
  <c r="Q226" i="1"/>
  <c r="Q238" i="1"/>
  <c r="Q249" i="1"/>
  <c r="P508" i="1"/>
  <c r="O508" i="1"/>
  <c r="P288" i="1"/>
  <c r="O266" i="1"/>
  <c r="P442" i="1"/>
  <c r="O354" i="1"/>
  <c r="P464" i="1"/>
  <c r="O310" i="1"/>
  <c r="P310" i="1"/>
  <c r="O420" i="1"/>
  <c r="P486" i="1"/>
  <c r="O486" i="1"/>
  <c r="O464" i="1"/>
  <c r="P376" i="1"/>
  <c r="P420" i="1"/>
  <c r="P354" i="1"/>
  <c r="O288" i="1"/>
  <c r="O442" i="1"/>
  <c r="P332" i="1"/>
  <c r="O398" i="1"/>
  <c r="P266" i="1"/>
  <c r="O332" i="1"/>
  <c r="O376" i="1"/>
  <c r="P398" i="1"/>
  <c r="AD145" i="1"/>
  <c r="Q212" i="1"/>
  <c r="R406" i="1"/>
  <c r="R318" i="1"/>
  <c r="R384" i="1"/>
  <c r="R299" i="1"/>
  <c r="S450" i="1"/>
  <c r="R472" i="1"/>
  <c r="Z137" i="1"/>
  <c r="AD101" i="1"/>
  <c r="R296" i="1"/>
  <c r="P304" i="1"/>
  <c r="P322" i="1" s="1"/>
  <c r="Q480" i="1"/>
  <c r="Q498" i="1" s="1"/>
  <c r="P326" i="1"/>
  <c r="P344" i="1" s="1"/>
  <c r="Q414" i="1"/>
  <c r="Q432" i="1" s="1"/>
  <c r="N278" i="1"/>
  <c r="Q214" i="1"/>
  <c r="Q465" i="1"/>
  <c r="P487" i="1"/>
  <c r="O443" i="1"/>
  <c r="P333" i="1"/>
  <c r="P289" i="1"/>
  <c r="O311" i="1"/>
  <c r="Q289" i="1"/>
  <c r="O289" i="1"/>
  <c r="O487" i="1"/>
  <c r="Q487" i="1"/>
  <c r="Q443" i="1"/>
  <c r="P399" i="1"/>
  <c r="Q377" i="1"/>
  <c r="Q355" i="1"/>
  <c r="O399" i="1"/>
  <c r="O267" i="1"/>
  <c r="O465" i="1"/>
  <c r="P311" i="1"/>
  <c r="Q267" i="1"/>
  <c r="P267" i="1"/>
  <c r="P355" i="1"/>
  <c r="Q311" i="1"/>
  <c r="P465" i="1"/>
  <c r="P443" i="1"/>
  <c r="O333" i="1"/>
  <c r="P377" i="1"/>
  <c r="O421" i="1"/>
  <c r="Q333" i="1"/>
  <c r="Q421" i="1"/>
  <c r="O377" i="1"/>
  <c r="O355" i="1"/>
  <c r="Q399" i="1"/>
  <c r="P421" i="1"/>
  <c r="O509" i="1"/>
  <c r="Q509" i="1"/>
  <c r="P509" i="1"/>
  <c r="S516" i="1"/>
  <c r="P258" i="1"/>
  <c r="P259" i="1" s="1"/>
  <c r="Q482" i="1"/>
  <c r="Q500" i="1" s="1"/>
  <c r="Q501" i="1" s="1"/>
  <c r="Q533" i="1" s="1"/>
  <c r="R372" i="1"/>
  <c r="R390" i="1" s="1"/>
  <c r="R391" i="1" s="1"/>
  <c r="R528" i="1" s="1"/>
  <c r="Q262" i="1"/>
  <c r="Q280" i="1" s="1"/>
  <c r="Q281" i="1" s="1"/>
  <c r="P438" i="1"/>
  <c r="P456" i="1" s="1"/>
  <c r="P457" i="1" s="1"/>
  <c r="P531" i="1" s="1"/>
  <c r="P394" i="1"/>
  <c r="P412" i="1" s="1"/>
  <c r="P413" i="1" s="1"/>
  <c r="P529" i="1" s="1"/>
  <c r="R306" i="1"/>
  <c r="R324" i="1" s="1"/>
  <c r="R325" i="1" s="1"/>
  <c r="R525" i="1" s="1"/>
  <c r="P416" i="1"/>
  <c r="P434" i="1" s="1"/>
  <c r="P435" i="1" s="1"/>
  <c r="P530" i="1" s="1"/>
  <c r="P372" i="1"/>
  <c r="P390" i="1" s="1"/>
  <c r="P391" i="1" s="1"/>
  <c r="P528" i="1" s="1"/>
  <c r="P262" i="1"/>
  <c r="Q416" i="1"/>
  <c r="Q434" i="1" s="1"/>
  <c r="Q435" i="1" s="1"/>
  <c r="Q530" i="1" s="1"/>
  <c r="R482" i="1"/>
  <c r="R500" i="1" s="1"/>
  <c r="R501" i="1" s="1"/>
  <c r="R533" i="1" s="1"/>
  <c r="Q460" i="1"/>
  <c r="Q478" i="1" s="1"/>
  <c r="Q479" i="1" s="1"/>
  <c r="Q532" i="1" s="1"/>
  <c r="R460" i="1"/>
  <c r="R478" i="1" s="1"/>
  <c r="R479" i="1" s="1"/>
  <c r="R532" i="1" s="1"/>
  <c r="R504" i="1"/>
  <c r="R522" i="1" s="1"/>
  <c r="R523" i="1" s="1"/>
  <c r="R534" i="1" s="1"/>
  <c r="P482" i="1"/>
  <c r="P500" i="1" s="1"/>
  <c r="P501" i="1" s="1"/>
  <c r="P533" i="1" s="1"/>
  <c r="Q438" i="1"/>
  <c r="Q456" i="1" s="1"/>
  <c r="Q457" i="1" s="1"/>
  <c r="Q531" i="1" s="1"/>
  <c r="P306" i="1"/>
  <c r="P324" i="1" s="1"/>
  <c r="P325" i="1" s="1"/>
  <c r="P525" i="1" s="1"/>
  <c r="R328" i="1"/>
  <c r="R346" i="1" s="1"/>
  <c r="R347" i="1" s="1"/>
  <c r="R526" i="1" s="1"/>
  <c r="R262" i="1"/>
  <c r="R280" i="1" s="1"/>
  <c r="R281" i="1" s="1"/>
  <c r="R416" i="1"/>
  <c r="R434" i="1" s="1"/>
  <c r="R435" i="1" s="1"/>
  <c r="R530" i="1" s="1"/>
  <c r="P284" i="1"/>
  <c r="P302" i="1" s="1"/>
  <c r="P303" i="1" s="1"/>
  <c r="P524" i="1" s="1"/>
  <c r="Q306" i="1"/>
  <c r="Q324" i="1" s="1"/>
  <c r="Q325" i="1" s="1"/>
  <c r="Q525" i="1" s="1"/>
  <c r="P504" i="1"/>
  <c r="P522" i="1" s="1"/>
  <c r="P523" i="1" s="1"/>
  <c r="P534" i="1" s="1"/>
  <c r="Q504" i="1"/>
  <c r="Q522" i="1" s="1"/>
  <c r="Q523" i="1" s="1"/>
  <c r="Q534" i="1" s="1"/>
  <c r="P460" i="1"/>
  <c r="P478" i="1" s="1"/>
  <c r="P479" i="1" s="1"/>
  <c r="P532" i="1" s="1"/>
  <c r="P350" i="1"/>
  <c r="P368" i="1" s="1"/>
  <c r="P369" i="1" s="1"/>
  <c r="P527" i="1" s="1"/>
  <c r="Q284" i="1"/>
  <c r="Q302" i="1" s="1"/>
  <c r="Q303" i="1" s="1"/>
  <c r="Q524" i="1" s="1"/>
  <c r="R438" i="1"/>
  <c r="R456" i="1" s="1"/>
  <c r="R457" i="1" s="1"/>
  <c r="R531" i="1" s="1"/>
  <c r="Q328" i="1"/>
  <c r="Q346" i="1" s="1"/>
  <c r="Q347" i="1" s="1"/>
  <c r="Q526" i="1" s="1"/>
  <c r="P328" i="1"/>
  <c r="P346" i="1" s="1"/>
  <c r="P347" i="1" s="1"/>
  <c r="P526" i="1" s="1"/>
  <c r="Q372" i="1"/>
  <c r="Q390" i="1" s="1"/>
  <c r="Q391" i="1" s="1"/>
  <c r="Q528" i="1" s="1"/>
  <c r="Q394" i="1"/>
  <c r="Q412" i="1" s="1"/>
  <c r="Q413" i="1" s="1"/>
  <c r="Q529" i="1" s="1"/>
  <c r="Q350" i="1"/>
  <c r="Q368" i="1" s="1"/>
  <c r="Q369" i="1" s="1"/>
  <c r="Q527" i="1" s="1"/>
  <c r="W8" i="1"/>
  <c r="P280" i="1" l="1"/>
  <c r="P281" i="1" s="1"/>
  <c r="AD134" i="1"/>
  <c r="Q260" i="1"/>
  <c r="Q326" i="1"/>
  <c r="Q344" i="1" s="1"/>
  <c r="R356" i="1"/>
  <c r="S510" i="1"/>
  <c r="S466" i="1"/>
  <c r="S290" i="1"/>
  <c r="S268" i="1"/>
  <c r="R268" i="1"/>
  <c r="R488" i="1"/>
  <c r="R290" i="1"/>
  <c r="S444" i="1"/>
  <c r="R312" i="1"/>
  <c r="R510" i="1"/>
  <c r="R334" i="1"/>
  <c r="R378" i="1"/>
  <c r="R422" i="1"/>
  <c r="R466" i="1"/>
  <c r="R400" i="1"/>
  <c r="S378" i="1"/>
  <c r="S422" i="1"/>
  <c r="R444" i="1"/>
  <c r="S488" i="1"/>
  <c r="R224" i="1"/>
  <c r="Q247" i="1"/>
  <c r="R313" i="1" s="1"/>
  <c r="Q436" i="1"/>
  <c r="Q454" i="1" s="1"/>
  <c r="R226" i="1"/>
  <c r="R238" i="1"/>
  <c r="R417" i="1"/>
  <c r="R395" i="1"/>
  <c r="Q256" i="1"/>
  <c r="Q304" i="1"/>
  <c r="Q322" i="1" s="1"/>
  <c r="R480" i="1"/>
  <c r="R498" i="1" s="1"/>
  <c r="R248" i="1"/>
  <c r="T20" i="1"/>
  <c r="S86" i="1"/>
  <c r="S80" i="1"/>
  <c r="S164" i="1"/>
  <c r="S218" i="1" s="1"/>
  <c r="S248" i="1" s="1"/>
  <c r="S71" i="1"/>
  <c r="S155" i="1"/>
  <c r="S209" i="1" s="1"/>
  <c r="S161" i="1"/>
  <c r="S215" i="1" s="1"/>
  <c r="S245" i="1" s="1"/>
  <c r="S74" i="1"/>
  <c r="S83" i="1"/>
  <c r="S170" i="1"/>
  <c r="S224" i="1" s="1"/>
  <c r="S254" i="1" s="1"/>
  <c r="S158" i="1"/>
  <c r="S212" i="1" s="1"/>
  <c r="S242" i="1" s="1"/>
  <c r="S374" i="1" s="1"/>
  <c r="S77" i="1"/>
  <c r="S167" i="1"/>
  <c r="S221" i="1" s="1"/>
  <c r="S251" i="1" s="1"/>
  <c r="Q348" i="1"/>
  <c r="Q366" i="1" s="1"/>
  <c r="AD140" i="1"/>
  <c r="T4" i="1"/>
  <c r="S82" i="1"/>
  <c r="S76" i="1"/>
  <c r="S85" i="1"/>
  <c r="S70" i="1"/>
  <c r="S154" i="1"/>
  <c r="S208" i="1" s="1"/>
  <c r="S160" i="1"/>
  <c r="S79" i="1"/>
  <c r="S166" i="1"/>
  <c r="S220" i="1" s="1"/>
  <c r="S250" i="1" s="1"/>
  <c r="S73" i="1"/>
  <c r="S169" i="1"/>
  <c r="S223" i="1" s="1"/>
  <c r="S253" i="1" s="1"/>
  <c r="S163" i="1"/>
  <c r="S217" i="1" s="1"/>
  <c r="S247" i="1" s="1"/>
  <c r="S157" i="1"/>
  <c r="S211" i="1" s="1"/>
  <c r="S241" i="1" s="1"/>
  <c r="Q244" i="1"/>
  <c r="R436" i="1"/>
  <c r="R454" i="1" s="1"/>
  <c r="S312" i="1"/>
  <c r="S334" i="1"/>
  <c r="S400" i="1"/>
  <c r="S356" i="1"/>
  <c r="U24" i="1"/>
  <c r="T78" i="1"/>
  <c r="T156" i="1"/>
  <c r="T210" i="1" s="1"/>
  <c r="T162" i="1"/>
  <c r="T216" i="1" s="1"/>
  <c r="T246" i="1" s="1"/>
  <c r="T72" i="1"/>
  <c r="T81" i="1"/>
  <c r="T75" i="1"/>
  <c r="T87" i="1"/>
  <c r="T165" i="1"/>
  <c r="T219" i="1" s="1"/>
  <c r="T84" i="1"/>
  <c r="T159" i="1"/>
  <c r="T213" i="1" s="1"/>
  <c r="T243" i="1" s="1"/>
  <c r="T168" i="1"/>
  <c r="T222" i="1" s="1"/>
  <c r="T252" i="1" s="1"/>
  <c r="T171" i="1"/>
  <c r="T225" i="1" s="1"/>
  <c r="R245" i="1"/>
  <c r="Q251" i="1"/>
  <c r="Q299" i="1"/>
  <c r="Q519" i="1"/>
  <c r="Q409" i="1"/>
  <c r="R475" i="1"/>
  <c r="Q453" i="1"/>
  <c r="R453" i="1"/>
  <c r="Q321" i="1"/>
  <c r="R365" i="1"/>
  <c r="Q475" i="1"/>
  <c r="Q365" i="1"/>
  <c r="R431" i="1"/>
  <c r="S321" i="1"/>
  <c r="R321" i="1"/>
  <c r="Q343" i="1"/>
  <c r="R497" i="1"/>
  <c r="R519" i="1"/>
  <c r="Q277" i="1"/>
  <c r="Q387" i="1"/>
  <c r="Q431" i="1"/>
  <c r="S475" i="1"/>
  <c r="Q497" i="1"/>
  <c r="S519" i="1"/>
  <c r="S431" i="1"/>
  <c r="R343" i="1"/>
  <c r="S453" i="1"/>
  <c r="R409" i="1"/>
  <c r="S497" i="1"/>
  <c r="R387" i="1"/>
  <c r="S365" i="1"/>
  <c r="X8" i="1"/>
  <c r="R502" i="1"/>
  <c r="R520" i="1" s="1"/>
  <c r="AD137" i="1"/>
  <c r="R277" i="1"/>
  <c r="Q242" i="1"/>
  <c r="Q502" i="1"/>
  <c r="Q520" i="1" s="1"/>
  <c r="Q370" i="1"/>
  <c r="Q388" i="1" s="1"/>
  <c r="Z143" i="1"/>
  <c r="AD143" i="1" s="1"/>
  <c r="AD125" i="1"/>
  <c r="O279" i="1"/>
  <c r="S228" i="1"/>
  <c r="S240" i="1"/>
  <c r="S299" i="1"/>
  <c r="S277" i="1"/>
  <c r="S387" i="1"/>
  <c r="S343" i="1"/>
  <c r="S409" i="1"/>
  <c r="Z12" i="1"/>
  <c r="Q392" i="1"/>
  <c r="Q410" i="1" s="1"/>
  <c r="S507" i="1"/>
  <c r="T463" i="1"/>
  <c r="Q265" i="1"/>
  <c r="S353" i="1"/>
  <c r="T397" i="1"/>
  <c r="T485" i="1"/>
  <c r="R441" i="1"/>
  <c r="T287" i="1"/>
  <c r="S419" i="1"/>
  <c r="R287" i="1"/>
  <c r="R331" i="1"/>
  <c r="S287" i="1"/>
  <c r="Q463" i="1"/>
  <c r="R309" i="1"/>
  <c r="R419" i="1"/>
  <c r="R397" i="1"/>
  <c r="T265" i="1"/>
  <c r="Q309" i="1"/>
  <c r="T309" i="1"/>
  <c r="Q441" i="1"/>
  <c r="Q375" i="1"/>
  <c r="Q397" i="1"/>
  <c r="T507" i="1"/>
  <c r="Q485" i="1"/>
  <c r="R463" i="1"/>
  <c r="T331" i="1"/>
  <c r="R375" i="1"/>
  <c r="S463" i="1"/>
  <c r="T353" i="1"/>
  <c r="Q353" i="1"/>
  <c r="R485" i="1"/>
  <c r="S397" i="1"/>
  <c r="R353" i="1"/>
  <c r="S375" i="1"/>
  <c r="T419" i="1"/>
  <c r="S265" i="1"/>
  <c r="Q507" i="1"/>
  <c r="R507" i="1"/>
  <c r="T375" i="1"/>
  <c r="Q287" i="1"/>
  <c r="S441" i="1"/>
  <c r="Q419" i="1"/>
  <c r="S485" i="1"/>
  <c r="Q331" i="1"/>
  <c r="T441" i="1"/>
  <c r="S309" i="1"/>
  <c r="S331" i="1"/>
  <c r="R265" i="1"/>
  <c r="S263" i="1"/>
  <c r="R307" i="1"/>
  <c r="R329" i="1"/>
  <c r="R394" i="1"/>
  <c r="R412" i="1" s="1"/>
  <c r="R413" i="1" s="1"/>
  <c r="R529" i="1" s="1"/>
  <c r="R284" i="1"/>
  <c r="R302" i="1" s="1"/>
  <c r="R303" i="1" s="1"/>
  <c r="R524" i="1" s="1"/>
  <c r="S504" i="1"/>
  <c r="S522" i="1" s="1"/>
  <c r="S523" i="1" s="1"/>
  <c r="S534" i="1" s="1"/>
  <c r="R350" i="1"/>
  <c r="R368" i="1" s="1"/>
  <c r="R369" i="1" s="1"/>
  <c r="R527" i="1" s="1"/>
  <c r="R458" i="1"/>
  <c r="R476" i="1" s="1"/>
  <c r="S447" i="1"/>
  <c r="Q337" i="1"/>
  <c r="S381" i="1"/>
  <c r="R337" i="1"/>
  <c r="S271" i="1"/>
  <c r="S359" i="1"/>
  <c r="S315" i="1"/>
  <c r="R315" i="1"/>
  <c r="S469" i="1"/>
  <c r="Q271" i="1"/>
  <c r="Q425" i="1"/>
  <c r="Q381" i="1"/>
  <c r="Q491" i="1"/>
  <c r="R469" i="1"/>
  <c r="S337" i="1"/>
  <c r="Q513" i="1"/>
  <c r="R513" i="1"/>
  <c r="R491" i="1"/>
  <c r="Q469" i="1"/>
  <c r="Q403" i="1"/>
  <c r="Q359" i="1"/>
  <c r="Q315" i="1"/>
  <c r="R381" i="1"/>
  <c r="S403" i="1"/>
  <c r="S293" i="1"/>
  <c r="Q447" i="1"/>
  <c r="R447" i="1"/>
  <c r="R403" i="1"/>
  <c r="R271" i="1"/>
  <c r="S491" i="1"/>
  <c r="R425" i="1"/>
  <c r="R293" i="1"/>
  <c r="S425" i="1"/>
  <c r="R359" i="1"/>
  <c r="S513" i="1"/>
  <c r="Q293" i="1"/>
  <c r="Q250" i="1"/>
  <c r="R316" i="1" s="1"/>
  <c r="Q458" i="1"/>
  <c r="Q476" i="1" s="1"/>
  <c r="AD131" i="1"/>
  <c r="P496" i="1"/>
  <c r="P430" i="1"/>
  <c r="Q386" i="1"/>
  <c r="P276" i="1"/>
  <c r="Q518" i="1"/>
  <c r="Q496" i="1"/>
  <c r="Q474" i="1"/>
  <c r="P320" i="1"/>
  <c r="P298" i="1"/>
  <c r="Q430" i="1"/>
  <c r="P452" i="1"/>
  <c r="P342" i="1"/>
  <c r="Q364" i="1"/>
  <c r="Q408" i="1"/>
  <c r="P474" i="1"/>
  <c r="Q452" i="1"/>
  <c r="P408" i="1"/>
  <c r="P386" i="1"/>
  <c r="Q342" i="1"/>
  <c r="P364" i="1"/>
  <c r="P518" i="1"/>
  <c r="S318" i="1"/>
  <c r="S384" i="1"/>
  <c r="S274" i="1"/>
  <c r="S406" i="1"/>
  <c r="S362" i="1"/>
  <c r="T296" i="1"/>
  <c r="S472" i="1"/>
  <c r="S428" i="1"/>
  <c r="S340" i="1"/>
  <c r="S494" i="1"/>
  <c r="S296" i="1"/>
  <c r="R227" i="1"/>
  <c r="R239" i="1"/>
  <c r="Q320" i="1"/>
  <c r="Q282" i="1"/>
  <c r="Q300" i="1" s="1"/>
  <c r="Q227" i="1"/>
  <c r="Q239" i="1"/>
  <c r="Q253" i="1"/>
  <c r="AD128" i="1"/>
  <c r="R439" i="1"/>
  <c r="R483" i="1"/>
  <c r="S395" i="1"/>
  <c r="R285" i="1"/>
  <c r="R263" i="1"/>
  <c r="R461" i="1"/>
  <c r="T363" i="1" l="1"/>
  <c r="Q407" i="1"/>
  <c r="Q363" i="1"/>
  <c r="Q429" i="1"/>
  <c r="T495" i="1"/>
  <c r="S341" i="1"/>
  <c r="Q451" i="1"/>
  <c r="R363" i="1"/>
  <c r="R319" i="1"/>
  <c r="Q473" i="1"/>
  <c r="R473" i="1"/>
  <c r="R429" i="1"/>
  <c r="S319" i="1"/>
  <c r="R385" i="1"/>
  <c r="Q319" i="1"/>
  <c r="Q495" i="1"/>
  <c r="S473" i="1"/>
  <c r="R407" i="1"/>
  <c r="R451" i="1"/>
  <c r="S385" i="1"/>
  <c r="S275" i="1"/>
  <c r="T517" i="1"/>
  <c r="R297" i="1"/>
  <c r="S429" i="1"/>
  <c r="R275" i="1"/>
  <c r="Q517" i="1"/>
  <c r="R495" i="1"/>
  <c r="R341" i="1"/>
  <c r="S495" i="1"/>
  <c r="S363" i="1"/>
  <c r="T297" i="1"/>
  <c r="T429" i="1"/>
  <c r="Q297" i="1"/>
  <c r="Q275" i="1"/>
  <c r="R517" i="1"/>
  <c r="S517" i="1"/>
  <c r="T451" i="1"/>
  <c r="S451" i="1"/>
  <c r="Q341" i="1"/>
  <c r="Q385" i="1"/>
  <c r="S297" i="1"/>
  <c r="S407" i="1"/>
  <c r="S229" i="1"/>
  <c r="Y8" i="1"/>
  <c r="R405" i="1"/>
  <c r="R427" i="1"/>
  <c r="Q493" i="1"/>
  <c r="R493" i="1"/>
  <c r="R273" i="1"/>
  <c r="Q273" i="1"/>
  <c r="S449" i="1"/>
  <c r="R317" i="1"/>
  <c r="R449" i="1"/>
  <c r="S515" i="1"/>
  <c r="S471" i="1"/>
  <c r="R515" i="1"/>
  <c r="R295" i="1"/>
  <c r="S427" i="1"/>
  <c r="S493" i="1"/>
  <c r="Q427" i="1"/>
  <c r="Q339" i="1"/>
  <c r="Q471" i="1"/>
  <c r="Q405" i="1"/>
  <c r="S405" i="1"/>
  <c r="Q317" i="1"/>
  <c r="Q295" i="1"/>
  <c r="R471" i="1"/>
  <c r="Q449" i="1"/>
  <c r="Q383" i="1"/>
  <c r="S295" i="1"/>
  <c r="R339" i="1"/>
  <c r="Q361" i="1"/>
  <c r="Q515" i="1"/>
  <c r="T406" i="1"/>
  <c r="T384" i="1"/>
  <c r="T318" i="1"/>
  <c r="T274" i="1"/>
  <c r="T340" i="1"/>
  <c r="T516" i="1"/>
  <c r="T450" i="1"/>
  <c r="U494" i="1"/>
  <c r="T494" i="1"/>
  <c r="T428" i="1"/>
  <c r="T356" i="1"/>
  <c r="T268" i="1"/>
  <c r="T312" i="1"/>
  <c r="T290" i="1"/>
  <c r="T334" i="1"/>
  <c r="T400" i="1"/>
  <c r="T378" i="1"/>
  <c r="R354" i="1"/>
  <c r="R332" i="1"/>
  <c r="Q354" i="1"/>
  <c r="Q266" i="1"/>
  <c r="R442" i="1"/>
  <c r="R266" i="1"/>
  <c r="Q442" i="1"/>
  <c r="Q508" i="1"/>
  <c r="R288" i="1"/>
  <c r="R398" i="1"/>
  <c r="Q486" i="1"/>
  <c r="Q376" i="1"/>
  <c r="R376" i="1"/>
  <c r="R486" i="1"/>
  <c r="Q332" i="1"/>
  <c r="R508" i="1"/>
  <c r="R464" i="1"/>
  <c r="Q398" i="1"/>
  <c r="Q464" i="1"/>
  <c r="R310" i="1"/>
  <c r="Q420" i="1"/>
  <c r="R420" i="1"/>
  <c r="Q288" i="1"/>
  <c r="Q310" i="1"/>
  <c r="S214" i="1"/>
  <c r="S377" i="1"/>
  <c r="R336" i="1"/>
  <c r="R358" i="1"/>
  <c r="S468" i="1"/>
  <c r="R446" i="1"/>
  <c r="S512" i="1"/>
  <c r="S314" i="1"/>
  <c r="R468" i="1"/>
  <c r="S490" i="1"/>
  <c r="T314" i="1"/>
  <c r="R424" i="1"/>
  <c r="R314" i="1"/>
  <c r="R270" i="1"/>
  <c r="S424" i="1"/>
  <c r="T468" i="1"/>
  <c r="R292" i="1"/>
  <c r="R490" i="1"/>
  <c r="R402" i="1"/>
  <c r="S446" i="1"/>
  <c r="R380" i="1"/>
  <c r="R512" i="1"/>
  <c r="R256" i="1"/>
  <c r="R260" i="1"/>
  <c r="R278" i="1" s="1"/>
  <c r="R326" i="1"/>
  <c r="R344" i="1" s="1"/>
  <c r="R282" i="1"/>
  <c r="R300" i="1" s="1"/>
  <c r="R304" i="1"/>
  <c r="R322" i="1" s="1"/>
  <c r="R370" i="1"/>
  <c r="R388" i="1" s="1"/>
  <c r="R348" i="1"/>
  <c r="R366" i="1" s="1"/>
  <c r="R392" i="1"/>
  <c r="R410" i="1" s="1"/>
  <c r="R254" i="1"/>
  <c r="T510" i="1"/>
  <c r="T472" i="1"/>
  <c r="T362" i="1"/>
  <c r="S439" i="1"/>
  <c r="S285" i="1"/>
  <c r="S329" i="1"/>
  <c r="S330" i="1"/>
  <c r="Q264" i="1"/>
  <c r="R418" i="1"/>
  <c r="S418" i="1"/>
  <c r="S352" i="1"/>
  <c r="S396" i="1"/>
  <c r="Q440" i="1"/>
  <c r="Q462" i="1"/>
  <c r="R330" i="1"/>
  <c r="R374" i="1"/>
  <c r="R506" i="1"/>
  <c r="R308" i="1"/>
  <c r="S440" i="1"/>
  <c r="Q330" i="1"/>
  <c r="S286" i="1"/>
  <c r="R440" i="1"/>
  <c r="Q308" i="1"/>
  <c r="S506" i="1"/>
  <c r="Q396" i="1"/>
  <c r="R352" i="1"/>
  <c r="R484" i="1"/>
  <c r="S264" i="1"/>
  <c r="R462" i="1"/>
  <c r="R286" i="1"/>
  <c r="S462" i="1"/>
  <c r="Q352" i="1"/>
  <c r="S484" i="1"/>
  <c r="R396" i="1"/>
  <c r="S308" i="1"/>
  <c r="Q418" i="1"/>
  <c r="Q286" i="1"/>
  <c r="Q506" i="1"/>
  <c r="R264" i="1"/>
  <c r="Q374" i="1"/>
  <c r="Q484" i="1"/>
  <c r="T228" i="1"/>
  <c r="T229" i="1" s="1"/>
  <c r="T240" i="1"/>
  <c r="S226" i="1"/>
  <c r="S238" i="1"/>
  <c r="S320" i="1"/>
  <c r="S276" i="1"/>
  <c r="S298" i="1"/>
  <c r="S227" i="1"/>
  <c r="S239" i="1"/>
  <c r="R414" i="1"/>
  <c r="R432" i="1" s="1"/>
  <c r="T422" i="1"/>
  <c r="T488" i="1"/>
  <c r="R257" i="1"/>
  <c r="R371" i="1"/>
  <c r="R389" i="1" s="1"/>
  <c r="R305" i="1"/>
  <c r="R323" i="1" s="1"/>
  <c r="R349" i="1"/>
  <c r="R367" i="1" s="1"/>
  <c r="R261" i="1"/>
  <c r="R279" i="1" s="1"/>
  <c r="R283" i="1"/>
  <c r="R301" i="1" s="1"/>
  <c r="R327" i="1"/>
  <c r="R345" i="1" s="1"/>
  <c r="Q514" i="1"/>
  <c r="S448" i="1"/>
  <c r="R426" i="1"/>
  <c r="S492" i="1"/>
  <c r="R470" i="1"/>
  <c r="Q360" i="1"/>
  <c r="Q272" i="1"/>
  <c r="R272" i="1"/>
  <c r="T272" i="1"/>
  <c r="T470" i="1"/>
  <c r="T492" i="1"/>
  <c r="S294" i="1"/>
  <c r="R294" i="1"/>
  <c r="Q426" i="1"/>
  <c r="Q382" i="1"/>
  <c r="Q448" i="1"/>
  <c r="Q338" i="1"/>
  <c r="Q316" i="1"/>
  <c r="Q492" i="1"/>
  <c r="S470" i="1"/>
  <c r="R514" i="1"/>
  <c r="S514" i="1"/>
  <c r="R448" i="1"/>
  <c r="S338" i="1"/>
  <c r="Q294" i="1"/>
  <c r="T448" i="1"/>
  <c r="S272" i="1"/>
  <c r="R338" i="1"/>
  <c r="R404" i="1"/>
  <c r="R492" i="1"/>
  <c r="S426" i="1"/>
  <c r="S404" i="1"/>
  <c r="Q470" i="1"/>
  <c r="Q404" i="1"/>
  <c r="T426" i="1"/>
  <c r="R382" i="1"/>
  <c r="R487" i="1"/>
  <c r="T443" i="1"/>
  <c r="T465" i="1"/>
  <c r="R465" i="1"/>
  <c r="S267" i="1"/>
  <c r="S421" i="1"/>
  <c r="R289" i="1"/>
  <c r="R421" i="1"/>
  <c r="S465" i="1"/>
  <c r="S333" i="1"/>
  <c r="R443" i="1"/>
  <c r="S443" i="1"/>
  <c r="S487" i="1"/>
  <c r="R509" i="1"/>
  <c r="S289" i="1"/>
  <c r="R267" i="1"/>
  <c r="R311" i="1"/>
  <c r="R355" i="1"/>
  <c r="R399" i="1"/>
  <c r="S355" i="1"/>
  <c r="S399" i="1"/>
  <c r="S311" i="1"/>
  <c r="R377" i="1"/>
  <c r="T377" i="1"/>
  <c r="T333" i="1"/>
  <c r="R333" i="1"/>
  <c r="S509" i="1"/>
  <c r="T509" i="1"/>
  <c r="S307" i="1"/>
  <c r="T395" i="1"/>
  <c r="S483" i="1"/>
  <c r="T263" i="1"/>
  <c r="S373" i="1"/>
  <c r="T461" i="1"/>
  <c r="S505" i="1"/>
  <c r="T329" i="1"/>
  <c r="S461" i="1"/>
  <c r="S316" i="1"/>
  <c r="S360" i="1"/>
  <c r="S382" i="1"/>
  <c r="U4" i="1"/>
  <c r="T85" i="1"/>
  <c r="T82" i="1"/>
  <c r="T70" i="1"/>
  <c r="T76" i="1"/>
  <c r="T154" i="1"/>
  <c r="T208" i="1" s="1"/>
  <c r="T79" i="1"/>
  <c r="T169" i="1"/>
  <c r="T223" i="1" s="1"/>
  <c r="T253" i="1" s="1"/>
  <c r="T319" i="1" s="1"/>
  <c r="T166" i="1"/>
  <c r="T220" i="1" s="1"/>
  <c r="T250" i="1" s="1"/>
  <c r="T160" i="1"/>
  <c r="T214" i="1" s="1"/>
  <c r="T244" i="1" s="1"/>
  <c r="T73" i="1"/>
  <c r="T163" i="1"/>
  <c r="T217" i="1" s="1"/>
  <c r="T247" i="1" s="1"/>
  <c r="T489" i="1" s="1"/>
  <c r="T157" i="1"/>
  <c r="T211" i="1" s="1"/>
  <c r="T241" i="1" s="1"/>
  <c r="S361" i="1"/>
  <c r="S317" i="1"/>
  <c r="S383" i="1"/>
  <c r="S273" i="1"/>
  <c r="S339" i="1"/>
  <c r="U20" i="1"/>
  <c r="T71" i="1"/>
  <c r="T161" i="1"/>
  <c r="T215" i="1" s="1"/>
  <c r="T245" i="1" s="1"/>
  <c r="T164" i="1"/>
  <c r="T218" i="1" s="1"/>
  <c r="T248" i="1" s="1"/>
  <c r="T380" i="1" s="1"/>
  <c r="T158" i="1"/>
  <c r="T212" i="1" s="1"/>
  <c r="T83" i="1"/>
  <c r="T86" i="1"/>
  <c r="T80" i="1"/>
  <c r="T77" i="1"/>
  <c r="T74" i="1"/>
  <c r="T170" i="1"/>
  <c r="T224" i="1" s="1"/>
  <c r="T254" i="1" s="1"/>
  <c r="T155" i="1"/>
  <c r="T209" i="1" s="1"/>
  <c r="T167" i="1"/>
  <c r="T221" i="1" s="1"/>
  <c r="T251" i="1" s="1"/>
  <c r="T483" i="1"/>
  <c r="S417" i="1"/>
  <c r="Q489" i="1"/>
  <c r="Q467" i="1"/>
  <c r="R467" i="1"/>
  <c r="S335" i="1"/>
  <c r="T357" i="1"/>
  <c r="R423" i="1"/>
  <c r="Q357" i="1"/>
  <c r="T445" i="1"/>
  <c r="R379" i="1"/>
  <c r="Q291" i="1"/>
  <c r="S379" i="1"/>
  <c r="S401" i="1"/>
  <c r="S357" i="1"/>
  <c r="Q511" i="1"/>
  <c r="T467" i="1"/>
  <c r="T313" i="1"/>
  <c r="R269" i="1"/>
  <c r="Q445" i="1"/>
  <c r="S269" i="1"/>
  <c r="T335" i="1"/>
  <c r="R401" i="1"/>
  <c r="S489" i="1"/>
  <c r="S291" i="1"/>
  <c r="Q423" i="1"/>
  <c r="S423" i="1"/>
  <c r="R357" i="1"/>
  <c r="Q269" i="1"/>
  <c r="R445" i="1"/>
  <c r="S511" i="1"/>
  <c r="S467" i="1"/>
  <c r="S445" i="1"/>
  <c r="Q313" i="1"/>
  <c r="Q401" i="1"/>
  <c r="R291" i="1"/>
  <c r="Q335" i="1"/>
  <c r="T401" i="1"/>
  <c r="R489" i="1"/>
  <c r="T269" i="1"/>
  <c r="T379" i="1"/>
  <c r="Q379" i="1"/>
  <c r="R335" i="1"/>
  <c r="T423" i="1"/>
  <c r="R511" i="1"/>
  <c r="T511" i="1"/>
  <c r="R361" i="1"/>
  <c r="T444" i="1"/>
  <c r="R383" i="1"/>
  <c r="T439" i="1"/>
  <c r="Q257" i="1"/>
  <c r="Q459" i="1"/>
  <c r="Q477" i="1" s="1"/>
  <c r="R503" i="1"/>
  <c r="R521" i="1" s="1"/>
  <c r="S459" i="1"/>
  <c r="S477" i="1" s="1"/>
  <c r="S393" i="1"/>
  <c r="S411" i="1" s="1"/>
  <c r="S437" i="1"/>
  <c r="S455" i="1" s="1"/>
  <c r="S415" i="1"/>
  <c r="S433" i="1" s="1"/>
  <c r="R481" i="1"/>
  <c r="R499" i="1" s="1"/>
  <c r="Q437" i="1"/>
  <c r="Q455" i="1" s="1"/>
  <c r="R393" i="1"/>
  <c r="R411" i="1" s="1"/>
  <c r="Q283" i="1"/>
  <c r="Q301" i="1" s="1"/>
  <c r="Q371" i="1"/>
  <c r="Q389" i="1" s="1"/>
  <c r="Q393" i="1"/>
  <c r="Q411" i="1" s="1"/>
  <c r="Q503" i="1"/>
  <c r="Q521" i="1" s="1"/>
  <c r="R459" i="1"/>
  <c r="R477" i="1" s="1"/>
  <c r="Q261" i="1"/>
  <c r="Q415" i="1"/>
  <c r="Q433" i="1" s="1"/>
  <c r="Q481" i="1"/>
  <c r="Q499" i="1" s="1"/>
  <c r="S481" i="1"/>
  <c r="S499" i="1" s="1"/>
  <c r="Q349" i="1"/>
  <c r="Q367" i="1" s="1"/>
  <c r="R437" i="1"/>
  <c r="R455" i="1" s="1"/>
  <c r="Q305" i="1"/>
  <c r="Q323" i="1" s="1"/>
  <c r="Q327" i="1"/>
  <c r="Q345" i="1" s="1"/>
  <c r="S503" i="1"/>
  <c r="S521" i="1" s="1"/>
  <c r="R415" i="1"/>
  <c r="R433" i="1" s="1"/>
  <c r="R360" i="1"/>
  <c r="S258" i="1"/>
  <c r="S259" i="1" s="1"/>
  <c r="T416" i="1"/>
  <c r="T434" i="1" s="1"/>
  <c r="T435" i="1" s="1"/>
  <c r="T530" i="1" s="1"/>
  <c r="S262" i="1"/>
  <c r="S482" i="1"/>
  <c r="S500" i="1" s="1"/>
  <c r="S501" i="1" s="1"/>
  <c r="S533" i="1" s="1"/>
  <c r="S306" i="1"/>
  <c r="S324" i="1" s="1"/>
  <c r="S325" i="1" s="1"/>
  <c r="S525" i="1" s="1"/>
  <c r="S350" i="1"/>
  <c r="S368" i="1" s="1"/>
  <c r="S369" i="1" s="1"/>
  <c r="S527" i="1" s="1"/>
  <c r="S372" i="1"/>
  <c r="S390" i="1" s="1"/>
  <c r="S391" i="1" s="1"/>
  <c r="S528" i="1" s="1"/>
  <c r="S328" i="1"/>
  <c r="S346" i="1" s="1"/>
  <c r="S347" i="1" s="1"/>
  <c r="S526" i="1" s="1"/>
  <c r="S460" i="1"/>
  <c r="S478" i="1" s="1"/>
  <c r="S479" i="1" s="1"/>
  <c r="S532" i="1" s="1"/>
  <c r="S416" i="1"/>
  <c r="S434" i="1" s="1"/>
  <c r="S435" i="1" s="1"/>
  <c r="S530" i="1" s="1"/>
  <c r="T350" i="1"/>
  <c r="T368" i="1" s="1"/>
  <c r="T369" i="1" s="1"/>
  <c r="T527" i="1" s="1"/>
  <c r="T394" i="1"/>
  <c r="T412" i="1" s="1"/>
  <c r="T413" i="1" s="1"/>
  <c r="T529" i="1" s="1"/>
  <c r="T482" i="1"/>
  <c r="T500" i="1" s="1"/>
  <c r="T501" i="1" s="1"/>
  <c r="T533" i="1" s="1"/>
  <c r="S284" i="1"/>
  <c r="S302" i="1" s="1"/>
  <c r="S303" i="1" s="1"/>
  <c r="S524" i="1" s="1"/>
  <c r="S394" i="1"/>
  <c r="S412" i="1" s="1"/>
  <c r="S413" i="1" s="1"/>
  <c r="S529" i="1" s="1"/>
  <c r="S438" i="1"/>
  <c r="S456" i="1" s="1"/>
  <c r="S457" i="1" s="1"/>
  <c r="S531" i="1" s="1"/>
  <c r="T460" i="1"/>
  <c r="T478" i="1" s="1"/>
  <c r="T479" i="1" s="1"/>
  <c r="T532" i="1" s="1"/>
  <c r="T255" i="1"/>
  <c r="T249" i="1"/>
  <c r="V24" i="1"/>
  <c r="U84" i="1"/>
  <c r="U162" i="1"/>
  <c r="U216" i="1" s="1"/>
  <c r="U246" i="1" s="1"/>
  <c r="U72" i="1"/>
  <c r="U171" i="1"/>
  <c r="U225" i="1" s="1"/>
  <c r="U255" i="1" s="1"/>
  <c r="U75" i="1"/>
  <c r="U165" i="1"/>
  <c r="U219" i="1" s="1"/>
  <c r="U249" i="1" s="1"/>
  <c r="U78" i="1"/>
  <c r="U156" i="1"/>
  <c r="U210" i="1" s="1"/>
  <c r="U168" i="1"/>
  <c r="U222" i="1" s="1"/>
  <c r="U252" i="1" s="1"/>
  <c r="U159" i="1"/>
  <c r="U213" i="1" s="1"/>
  <c r="U243" i="1" s="1"/>
  <c r="U87" i="1"/>
  <c r="U81" i="1"/>
  <c r="S313" i="1"/>
  <c r="S292" i="1"/>
  <c r="S358" i="1"/>
  <c r="S380" i="1"/>
  <c r="S402" i="1"/>
  <c r="S270" i="1"/>
  <c r="S336" i="1"/>
  <c r="T466" i="1"/>
  <c r="Q278" i="1"/>
  <c r="S351" i="1"/>
  <c r="U485" i="1" l="1"/>
  <c r="U441" i="1"/>
  <c r="U419" i="1"/>
  <c r="U397" i="1"/>
  <c r="U309" i="1"/>
  <c r="U287" i="1"/>
  <c r="U331" i="1"/>
  <c r="U375" i="1"/>
  <c r="U353" i="1"/>
  <c r="U265" i="1"/>
  <c r="U507" i="1"/>
  <c r="U463" i="1"/>
  <c r="U425" i="1"/>
  <c r="U293" i="1"/>
  <c r="U359" i="1"/>
  <c r="U315" i="1"/>
  <c r="U381" i="1"/>
  <c r="U403" i="1"/>
  <c r="U271" i="1"/>
  <c r="U337" i="1"/>
  <c r="U356" i="1"/>
  <c r="U334" i="1"/>
  <c r="U378" i="1"/>
  <c r="U312" i="1"/>
  <c r="U290" i="1"/>
  <c r="U488" i="1"/>
  <c r="U400" i="1"/>
  <c r="U510" i="1"/>
  <c r="U422" i="1"/>
  <c r="U444" i="1"/>
  <c r="U466" i="1"/>
  <c r="S256" i="1"/>
  <c r="S326" i="1"/>
  <c r="S344" i="1" s="1"/>
  <c r="S348" i="1"/>
  <c r="S366" i="1" s="1"/>
  <c r="S304" i="1"/>
  <c r="S322" i="1" s="1"/>
  <c r="S370" i="1"/>
  <c r="S388" i="1" s="1"/>
  <c r="S282" i="1"/>
  <c r="S300" i="1" s="1"/>
  <c r="S392" i="1"/>
  <c r="S410" i="1" s="1"/>
  <c r="S414" i="1"/>
  <c r="S432" i="1" s="1"/>
  <c r="S480" i="1"/>
  <c r="S498" i="1" s="1"/>
  <c r="S436" i="1"/>
  <c r="S454" i="1" s="1"/>
  <c r="S458" i="1"/>
  <c r="S476" i="1" s="1"/>
  <c r="S260" i="1"/>
  <c r="S278" i="1" s="1"/>
  <c r="S502" i="1"/>
  <c r="S520" i="1" s="1"/>
  <c r="T315" i="1"/>
  <c r="T513" i="1"/>
  <c r="U447" i="1"/>
  <c r="V447" i="1"/>
  <c r="V513" i="1"/>
  <c r="U469" i="1"/>
  <c r="T381" i="1"/>
  <c r="T425" i="1"/>
  <c r="T491" i="1"/>
  <c r="T337" i="1"/>
  <c r="T359" i="1"/>
  <c r="T403" i="1"/>
  <c r="V491" i="1"/>
  <c r="T271" i="1"/>
  <c r="T293" i="1"/>
  <c r="U513" i="1"/>
  <c r="U491" i="1"/>
  <c r="T469" i="1"/>
  <c r="T447" i="1"/>
  <c r="T295" i="1"/>
  <c r="T361" i="1"/>
  <c r="T383" i="1"/>
  <c r="T317" i="1"/>
  <c r="T405" i="1"/>
  <c r="T515" i="1"/>
  <c r="T449" i="1"/>
  <c r="T339" i="1"/>
  <c r="T273" i="1"/>
  <c r="T427" i="1"/>
  <c r="T493" i="1"/>
  <c r="T471" i="1"/>
  <c r="T242" i="1"/>
  <c r="V20" i="1"/>
  <c r="U155" i="1"/>
  <c r="U209" i="1" s="1"/>
  <c r="U161" i="1"/>
  <c r="U215" i="1" s="1"/>
  <c r="U245" i="1" s="1"/>
  <c r="U164" i="1"/>
  <c r="U218" i="1" s="1"/>
  <c r="U248" i="1" s="1"/>
  <c r="U77" i="1"/>
  <c r="U86" i="1"/>
  <c r="U74" i="1"/>
  <c r="U71" i="1"/>
  <c r="U167" i="1"/>
  <c r="U221" i="1" s="1"/>
  <c r="U251" i="1" s="1"/>
  <c r="U515" i="1" s="1"/>
  <c r="U170" i="1"/>
  <c r="U224" i="1" s="1"/>
  <c r="U254" i="1" s="1"/>
  <c r="U83" i="1"/>
  <c r="U80" i="1"/>
  <c r="U158" i="1"/>
  <c r="U212" i="1" s="1"/>
  <c r="U242" i="1" s="1"/>
  <c r="U268" i="1"/>
  <c r="T227" i="1"/>
  <c r="T239" i="1"/>
  <c r="T310" i="1"/>
  <c r="T266" i="1"/>
  <c r="T332" i="1"/>
  <c r="T358" i="1"/>
  <c r="T446" i="1"/>
  <c r="U228" i="1"/>
  <c r="U229" i="1" s="1"/>
  <c r="U240" i="1"/>
  <c r="U299" i="1"/>
  <c r="U365" i="1"/>
  <c r="U277" i="1"/>
  <c r="U409" i="1"/>
  <c r="U343" i="1"/>
  <c r="U387" i="1"/>
  <c r="U431" i="1"/>
  <c r="U321" i="1"/>
  <c r="W24" i="1"/>
  <c r="V78" i="1"/>
  <c r="V156" i="1"/>
  <c r="V210" i="1" s="1"/>
  <c r="V171" i="1"/>
  <c r="V225" i="1" s="1"/>
  <c r="V255" i="1" s="1"/>
  <c r="V159" i="1"/>
  <c r="V213" i="1" s="1"/>
  <c r="V243" i="1" s="1"/>
  <c r="V84" i="1"/>
  <c r="V81" i="1"/>
  <c r="V72" i="1"/>
  <c r="V168" i="1"/>
  <c r="V222" i="1" s="1"/>
  <c r="V252" i="1" s="1"/>
  <c r="V75" i="1"/>
  <c r="V162" i="1"/>
  <c r="V216" i="1" s="1"/>
  <c r="V246" i="1" s="1"/>
  <c r="V165" i="1"/>
  <c r="V219" i="1" s="1"/>
  <c r="V249" i="1" s="1"/>
  <c r="V87" i="1"/>
  <c r="T321" i="1"/>
  <c r="T277" i="1"/>
  <c r="T365" i="1"/>
  <c r="T299" i="1"/>
  <c r="T387" i="1"/>
  <c r="T497" i="1"/>
  <c r="U453" i="1"/>
  <c r="U497" i="1"/>
  <c r="T453" i="1"/>
  <c r="V453" i="1"/>
  <c r="U475" i="1"/>
  <c r="V519" i="1"/>
  <c r="T343" i="1"/>
  <c r="T475" i="1"/>
  <c r="T519" i="1"/>
  <c r="T431" i="1"/>
  <c r="T409" i="1"/>
  <c r="V497" i="1"/>
  <c r="U519" i="1"/>
  <c r="S280" i="1"/>
  <c r="S281" i="1" s="1"/>
  <c r="U445" i="1"/>
  <c r="T291" i="1"/>
  <c r="T276" i="1"/>
  <c r="T320" i="1"/>
  <c r="T298" i="1"/>
  <c r="T342" i="1"/>
  <c r="T364" i="1"/>
  <c r="T386" i="1"/>
  <c r="T307" i="1"/>
  <c r="T351" i="1"/>
  <c r="T505" i="1"/>
  <c r="T373" i="1"/>
  <c r="T360" i="1"/>
  <c r="T382" i="1"/>
  <c r="T316" i="1"/>
  <c r="V4" i="1"/>
  <c r="U76" i="1"/>
  <c r="U70" i="1"/>
  <c r="U82" i="1"/>
  <c r="U154" i="1"/>
  <c r="U208" i="1" s="1"/>
  <c r="U85" i="1"/>
  <c r="U79" i="1"/>
  <c r="U166" i="1"/>
  <c r="U220" i="1" s="1"/>
  <c r="U250" i="1" s="1"/>
  <c r="U169" i="1"/>
  <c r="U223" i="1" s="1"/>
  <c r="U253" i="1" s="1"/>
  <c r="U160" i="1"/>
  <c r="U214" i="1" s="1"/>
  <c r="U244" i="1" s="1"/>
  <c r="U73" i="1"/>
  <c r="U163" i="1"/>
  <c r="U217" i="1" s="1"/>
  <c r="U247" i="1" s="1"/>
  <c r="U157" i="1"/>
  <c r="U211" i="1" s="1"/>
  <c r="U241" i="1" s="1"/>
  <c r="T285" i="1"/>
  <c r="T417" i="1"/>
  <c r="T355" i="1"/>
  <c r="T399" i="1"/>
  <c r="T487" i="1"/>
  <c r="T311" i="1"/>
  <c r="T514" i="1"/>
  <c r="T404" i="1"/>
  <c r="T338" i="1"/>
  <c r="T294" i="1"/>
  <c r="U448" i="1"/>
  <c r="U446" i="1"/>
  <c r="U468" i="1"/>
  <c r="U490" i="1"/>
  <c r="T398" i="1"/>
  <c r="Z8" i="1"/>
  <c r="T473" i="1"/>
  <c r="T341" i="1"/>
  <c r="T385" i="1"/>
  <c r="U384" i="1"/>
  <c r="U428" i="1"/>
  <c r="U406" i="1"/>
  <c r="U318" i="1"/>
  <c r="U362" i="1"/>
  <c r="U340" i="1"/>
  <c r="U274" i="1"/>
  <c r="U450" i="1"/>
  <c r="U296" i="1"/>
  <c r="U472" i="1"/>
  <c r="T336" i="1"/>
  <c r="T402" i="1"/>
  <c r="T270" i="1"/>
  <c r="T292" i="1"/>
  <c r="T226" i="1"/>
  <c r="T238" i="1"/>
  <c r="T502" i="1" s="1"/>
  <c r="T520" i="1" s="1"/>
  <c r="T490" i="1"/>
  <c r="Q279" i="1"/>
  <c r="T267" i="1"/>
  <c r="T289" i="1"/>
  <c r="T421" i="1"/>
  <c r="U514" i="1"/>
  <c r="U272" i="1"/>
  <c r="S257" i="1"/>
  <c r="S327" i="1"/>
  <c r="S345" i="1" s="1"/>
  <c r="S349" i="1"/>
  <c r="S367" i="1" s="1"/>
  <c r="S283" i="1"/>
  <c r="S301" i="1" s="1"/>
  <c r="S305" i="1"/>
  <c r="S323" i="1" s="1"/>
  <c r="S371" i="1"/>
  <c r="S389" i="1" s="1"/>
  <c r="S261" i="1"/>
  <c r="S279" i="1" s="1"/>
  <c r="T258" i="1"/>
  <c r="T259" i="1" s="1"/>
  <c r="T372" i="1"/>
  <c r="T390" i="1" s="1"/>
  <c r="T391" i="1" s="1"/>
  <c r="T528" i="1" s="1"/>
  <c r="T328" i="1"/>
  <c r="T346" i="1" s="1"/>
  <c r="T347" i="1" s="1"/>
  <c r="T526" i="1" s="1"/>
  <c r="T262" i="1"/>
  <c r="T280" i="1" s="1"/>
  <c r="T281" i="1" s="1"/>
  <c r="T284" i="1"/>
  <c r="T302" i="1" s="1"/>
  <c r="T303" i="1" s="1"/>
  <c r="T524" i="1" s="1"/>
  <c r="T306" i="1"/>
  <c r="T324" i="1" s="1"/>
  <c r="T325" i="1" s="1"/>
  <c r="T525" i="1" s="1"/>
  <c r="T438" i="1"/>
  <c r="T456" i="1" s="1"/>
  <c r="T457" i="1" s="1"/>
  <c r="T531" i="1" s="1"/>
  <c r="U460" i="1"/>
  <c r="U478" i="1" s="1"/>
  <c r="U479" i="1" s="1"/>
  <c r="U532" i="1" s="1"/>
  <c r="T504" i="1"/>
  <c r="T522" i="1" s="1"/>
  <c r="T523" i="1" s="1"/>
  <c r="T534" i="1" s="1"/>
  <c r="R320" i="1"/>
  <c r="R276" i="1"/>
  <c r="R298" i="1"/>
  <c r="T408" i="1"/>
  <c r="S342" i="1"/>
  <c r="U408" i="1"/>
  <c r="R518" i="1"/>
  <c r="T496" i="1"/>
  <c r="S364" i="1"/>
  <c r="T518" i="1"/>
  <c r="R364" i="1"/>
  <c r="S496" i="1"/>
  <c r="S452" i="1"/>
  <c r="T452" i="1"/>
  <c r="T430" i="1"/>
  <c r="S430" i="1"/>
  <c r="R474" i="1"/>
  <c r="R408" i="1"/>
  <c r="R452" i="1"/>
  <c r="R342" i="1"/>
  <c r="U452" i="1"/>
  <c r="R496" i="1"/>
  <c r="S474" i="1"/>
  <c r="U430" i="1"/>
  <c r="U518" i="1"/>
  <c r="S386" i="1"/>
  <c r="T474" i="1"/>
  <c r="S408" i="1"/>
  <c r="R430" i="1"/>
  <c r="U496" i="1"/>
  <c r="U474" i="1"/>
  <c r="R386" i="1"/>
  <c r="S518" i="1"/>
  <c r="T424" i="1"/>
  <c r="T512" i="1"/>
  <c r="S244" i="1"/>
  <c r="T354" i="1" s="1"/>
  <c r="U516" i="1"/>
  <c r="T275" i="1"/>
  <c r="U451" i="1"/>
  <c r="T407" i="1"/>
  <c r="U505" i="1" l="1"/>
  <c r="V406" i="1"/>
  <c r="V362" i="1"/>
  <c r="V384" i="1"/>
  <c r="V318" i="1"/>
  <c r="V274" i="1"/>
  <c r="V296" i="1"/>
  <c r="V428" i="1"/>
  <c r="V450" i="1"/>
  <c r="V340" i="1"/>
  <c r="V494" i="1"/>
  <c r="V472" i="1"/>
  <c r="V516" i="1"/>
  <c r="V419" i="1"/>
  <c r="V265" i="1"/>
  <c r="V397" i="1"/>
  <c r="V331" i="1"/>
  <c r="V353" i="1"/>
  <c r="V309" i="1"/>
  <c r="V287" i="1"/>
  <c r="V375" i="1"/>
  <c r="X24" i="1"/>
  <c r="W78" i="1"/>
  <c r="W81" i="1"/>
  <c r="W162" i="1"/>
  <c r="W216" i="1" s="1"/>
  <c r="W246" i="1" s="1"/>
  <c r="W84" i="1"/>
  <c r="W75" i="1"/>
  <c r="W159" i="1"/>
  <c r="W213" i="1" s="1"/>
  <c r="W243" i="1" s="1"/>
  <c r="W87" i="1"/>
  <c r="W168" i="1"/>
  <c r="W222" i="1" s="1"/>
  <c r="W252" i="1" s="1"/>
  <c r="W165" i="1"/>
  <c r="W219" i="1" s="1"/>
  <c r="W249" i="1" s="1"/>
  <c r="W72" i="1"/>
  <c r="W156" i="1"/>
  <c r="W210" i="1" s="1"/>
  <c r="W171" i="1"/>
  <c r="W225" i="1" s="1"/>
  <c r="W255" i="1" s="1"/>
  <c r="U267" i="1"/>
  <c r="U421" i="1"/>
  <c r="U311" i="1"/>
  <c r="U443" i="1"/>
  <c r="U377" i="1"/>
  <c r="U487" i="1"/>
  <c r="U289" i="1"/>
  <c r="U355" i="1"/>
  <c r="U333" i="1"/>
  <c r="U509" i="1"/>
  <c r="U465" i="1"/>
  <c r="T308" i="1"/>
  <c r="T352" i="1"/>
  <c r="T506" i="1"/>
  <c r="U462" i="1"/>
  <c r="T484" i="1"/>
  <c r="T462" i="1"/>
  <c r="U506" i="1"/>
  <c r="U440" i="1"/>
  <c r="T264" i="1"/>
  <c r="T418" i="1"/>
  <c r="V418" i="1"/>
  <c r="T440" i="1"/>
  <c r="T396" i="1"/>
  <c r="U418" i="1"/>
  <c r="V462" i="1"/>
  <c r="T286" i="1"/>
  <c r="U484" i="1"/>
  <c r="T374" i="1"/>
  <c r="T330" i="1"/>
  <c r="V488" i="1"/>
  <c r="V507" i="1"/>
  <c r="U473" i="1"/>
  <c r="T420" i="1"/>
  <c r="U288" i="1"/>
  <c r="U354" i="1"/>
  <c r="U266" i="1"/>
  <c r="U332" i="1"/>
  <c r="U310" i="1"/>
  <c r="U376" i="1"/>
  <c r="U398" i="1"/>
  <c r="U420" i="1"/>
  <c r="V425" i="1"/>
  <c r="V337" i="1"/>
  <c r="V271" i="1"/>
  <c r="V315" i="1"/>
  <c r="V293" i="1"/>
  <c r="V381" i="1"/>
  <c r="V403" i="1"/>
  <c r="V359" i="1"/>
  <c r="V277" i="1"/>
  <c r="V321" i="1"/>
  <c r="V365" i="1"/>
  <c r="V299" i="1"/>
  <c r="V409" i="1"/>
  <c r="V387" i="1"/>
  <c r="V343" i="1"/>
  <c r="V431" i="1"/>
  <c r="U258" i="1"/>
  <c r="U259" i="1" s="1"/>
  <c r="U350" i="1"/>
  <c r="U368" i="1" s="1"/>
  <c r="U369" i="1" s="1"/>
  <c r="U527" i="1" s="1"/>
  <c r="U284" i="1"/>
  <c r="U302" i="1" s="1"/>
  <c r="U303" i="1" s="1"/>
  <c r="U524" i="1" s="1"/>
  <c r="U262" i="1"/>
  <c r="U280" i="1" s="1"/>
  <c r="U281" i="1" s="1"/>
  <c r="U372" i="1"/>
  <c r="U390" i="1" s="1"/>
  <c r="U391" i="1" s="1"/>
  <c r="U528" i="1" s="1"/>
  <c r="U306" i="1"/>
  <c r="U324" i="1" s="1"/>
  <c r="U325" i="1" s="1"/>
  <c r="U525" i="1" s="1"/>
  <c r="U394" i="1"/>
  <c r="U412" i="1" s="1"/>
  <c r="U413" i="1" s="1"/>
  <c r="U529" i="1" s="1"/>
  <c r="U328" i="1"/>
  <c r="U346" i="1" s="1"/>
  <c r="U347" i="1" s="1"/>
  <c r="U526" i="1" s="1"/>
  <c r="U416" i="1"/>
  <c r="U434" i="1" s="1"/>
  <c r="U435" i="1" s="1"/>
  <c r="U530" i="1" s="1"/>
  <c r="U504" i="1"/>
  <c r="U522" i="1" s="1"/>
  <c r="U523" i="1" s="1"/>
  <c r="U534" i="1" s="1"/>
  <c r="U438" i="1"/>
  <c r="U456" i="1" s="1"/>
  <c r="U457" i="1" s="1"/>
  <c r="U531" i="1" s="1"/>
  <c r="U482" i="1"/>
  <c r="U500" i="1" s="1"/>
  <c r="U501" i="1" s="1"/>
  <c r="U533" i="1" s="1"/>
  <c r="U320" i="1"/>
  <c r="U276" i="1"/>
  <c r="U298" i="1"/>
  <c r="U364" i="1"/>
  <c r="U386" i="1"/>
  <c r="U342" i="1"/>
  <c r="U227" i="1"/>
  <c r="U239" i="1"/>
  <c r="U449" i="1"/>
  <c r="W513" i="1"/>
  <c r="W491" i="1"/>
  <c r="V485" i="1"/>
  <c r="V441" i="1"/>
  <c r="W507" i="1"/>
  <c r="U307" i="1"/>
  <c r="U329" i="1"/>
  <c r="U285" i="1"/>
  <c r="U373" i="1"/>
  <c r="U263" i="1"/>
  <c r="U351" i="1"/>
  <c r="U395" i="1"/>
  <c r="U461" i="1"/>
  <c r="U417" i="1"/>
  <c r="U483" i="1"/>
  <c r="U439" i="1"/>
  <c r="U341" i="1"/>
  <c r="U363" i="1"/>
  <c r="U319" i="1"/>
  <c r="U429" i="1"/>
  <c r="U385" i="1"/>
  <c r="U297" i="1"/>
  <c r="U275" i="1"/>
  <c r="U495" i="1"/>
  <c r="U517" i="1"/>
  <c r="V495" i="1"/>
  <c r="U407" i="1"/>
  <c r="U226" i="1"/>
  <c r="U238" i="1"/>
  <c r="W4" i="1"/>
  <c r="V76" i="1"/>
  <c r="V70" i="1"/>
  <c r="V82" i="1"/>
  <c r="V154" i="1"/>
  <c r="V208" i="1" s="1"/>
  <c r="V85" i="1"/>
  <c r="V79" i="1"/>
  <c r="V169" i="1"/>
  <c r="V223" i="1" s="1"/>
  <c r="V253" i="1" s="1"/>
  <c r="V73" i="1"/>
  <c r="V166" i="1"/>
  <c r="V220" i="1" s="1"/>
  <c r="V250" i="1" s="1"/>
  <c r="V160" i="1"/>
  <c r="V214" i="1" s="1"/>
  <c r="V244" i="1" s="1"/>
  <c r="V157" i="1"/>
  <c r="V211" i="1" s="1"/>
  <c r="V241" i="1" s="1"/>
  <c r="V163" i="1"/>
  <c r="V217" i="1" s="1"/>
  <c r="V247" i="1" s="1"/>
  <c r="V334" i="1"/>
  <c r="V268" i="1"/>
  <c r="V290" i="1"/>
  <c r="V400" i="1"/>
  <c r="V312" i="1"/>
  <c r="V356" i="1"/>
  <c r="V378" i="1"/>
  <c r="V466" i="1"/>
  <c r="V422" i="1"/>
  <c r="V510" i="1"/>
  <c r="V228" i="1"/>
  <c r="V229" i="1" s="1"/>
  <c r="V240" i="1"/>
  <c r="T257" i="1"/>
  <c r="T305" i="1"/>
  <c r="T323" i="1" s="1"/>
  <c r="T371" i="1"/>
  <c r="T389" i="1" s="1"/>
  <c r="T327" i="1"/>
  <c r="T345" i="1" s="1"/>
  <c r="T283" i="1"/>
  <c r="T301" i="1" s="1"/>
  <c r="T261" i="1"/>
  <c r="T279" i="1" s="1"/>
  <c r="T349" i="1"/>
  <c r="T367" i="1" s="1"/>
  <c r="T459" i="1"/>
  <c r="T477" i="1" s="1"/>
  <c r="U459" i="1"/>
  <c r="U477" i="1" s="1"/>
  <c r="T393" i="1"/>
  <c r="T411" i="1" s="1"/>
  <c r="U481" i="1"/>
  <c r="U499" i="1" s="1"/>
  <c r="U437" i="1"/>
  <c r="U455" i="1" s="1"/>
  <c r="U503" i="1"/>
  <c r="U521" i="1" s="1"/>
  <c r="T481" i="1"/>
  <c r="T499" i="1" s="1"/>
  <c r="T415" i="1"/>
  <c r="T433" i="1" s="1"/>
  <c r="T437" i="1"/>
  <c r="T455" i="1" s="1"/>
  <c r="T503" i="1"/>
  <c r="T521" i="1" s="1"/>
  <c r="U286" i="1"/>
  <c r="U352" i="1"/>
  <c r="U308" i="1"/>
  <c r="U396" i="1"/>
  <c r="U330" i="1"/>
  <c r="U264" i="1"/>
  <c r="U374" i="1"/>
  <c r="U383" i="1"/>
  <c r="U295" i="1"/>
  <c r="U339" i="1"/>
  <c r="U273" i="1"/>
  <c r="U361" i="1"/>
  <c r="U317" i="1"/>
  <c r="U405" i="1"/>
  <c r="U471" i="1"/>
  <c r="U427" i="1"/>
  <c r="W20" i="1"/>
  <c r="V83" i="1"/>
  <c r="V74" i="1"/>
  <c r="V158" i="1"/>
  <c r="V212" i="1" s="1"/>
  <c r="V242" i="1" s="1"/>
  <c r="V155" i="1"/>
  <c r="V209" i="1" s="1"/>
  <c r="V170" i="1"/>
  <c r="V224" i="1" s="1"/>
  <c r="V254" i="1" s="1"/>
  <c r="V164" i="1"/>
  <c r="V218" i="1" s="1"/>
  <c r="V248" i="1" s="1"/>
  <c r="V77" i="1"/>
  <c r="V86" i="1"/>
  <c r="V167" i="1"/>
  <c r="V221" i="1" s="1"/>
  <c r="V251" i="1" s="1"/>
  <c r="V71" i="1"/>
  <c r="V80" i="1"/>
  <c r="V161" i="1"/>
  <c r="V215" i="1" s="1"/>
  <c r="V245" i="1" s="1"/>
  <c r="V515" i="1"/>
  <c r="S332" i="1"/>
  <c r="S376" i="1"/>
  <c r="S354" i="1"/>
  <c r="S266" i="1"/>
  <c r="S288" i="1"/>
  <c r="S310" i="1"/>
  <c r="S486" i="1"/>
  <c r="S508" i="1"/>
  <c r="V508" i="1"/>
  <c r="V464" i="1"/>
  <c r="T508" i="1"/>
  <c r="T442" i="1"/>
  <c r="U486" i="1"/>
  <c r="U442" i="1"/>
  <c r="S398" i="1"/>
  <c r="T486" i="1"/>
  <c r="S464" i="1"/>
  <c r="T464" i="1"/>
  <c r="U464" i="1"/>
  <c r="U508" i="1"/>
  <c r="V442" i="1"/>
  <c r="S420" i="1"/>
  <c r="S442" i="1"/>
  <c r="V486" i="1"/>
  <c r="T256" i="1"/>
  <c r="T348" i="1"/>
  <c r="T366" i="1" s="1"/>
  <c r="T392" i="1"/>
  <c r="T410" i="1" s="1"/>
  <c r="T282" i="1"/>
  <c r="T300" i="1" s="1"/>
  <c r="T260" i="1"/>
  <c r="T278" i="1" s="1"/>
  <c r="T304" i="1"/>
  <c r="T322" i="1" s="1"/>
  <c r="T370" i="1"/>
  <c r="T388" i="1" s="1"/>
  <c r="T414" i="1"/>
  <c r="T432" i="1" s="1"/>
  <c r="T326" i="1"/>
  <c r="T344" i="1" s="1"/>
  <c r="T458" i="1"/>
  <c r="T476" i="1" s="1"/>
  <c r="U313" i="1"/>
  <c r="U489" i="1"/>
  <c r="V489" i="1"/>
  <c r="U423" i="1"/>
  <c r="U335" i="1"/>
  <c r="U269" i="1"/>
  <c r="U379" i="1"/>
  <c r="U357" i="1"/>
  <c r="V423" i="1"/>
  <c r="U511" i="1"/>
  <c r="V511" i="1"/>
  <c r="U467" i="1"/>
  <c r="U401" i="1"/>
  <c r="U291" i="1"/>
  <c r="V467" i="1"/>
  <c r="V445" i="1"/>
  <c r="U382" i="1"/>
  <c r="U316" i="1"/>
  <c r="U360" i="1"/>
  <c r="U404" i="1"/>
  <c r="U470" i="1"/>
  <c r="U294" i="1"/>
  <c r="U426" i="1"/>
  <c r="U492" i="1"/>
  <c r="U338" i="1"/>
  <c r="V272" i="1"/>
  <c r="V426" i="1"/>
  <c r="V475" i="1"/>
  <c r="T376" i="1"/>
  <c r="T288" i="1"/>
  <c r="U402" i="1"/>
  <c r="U292" i="1"/>
  <c r="U424" i="1"/>
  <c r="U358" i="1"/>
  <c r="U380" i="1"/>
  <c r="U512" i="1"/>
  <c r="U336" i="1"/>
  <c r="U314" i="1"/>
  <c r="U270" i="1"/>
  <c r="U493" i="1"/>
  <c r="V469" i="1"/>
  <c r="T480" i="1"/>
  <c r="T498" i="1" s="1"/>
  <c r="T436" i="1"/>
  <c r="T454" i="1" s="1"/>
  <c r="V444" i="1"/>
  <c r="V463" i="1"/>
  <c r="U399" i="1"/>
  <c r="V377" i="1" l="1"/>
  <c r="V267" i="1"/>
  <c r="V311" i="1"/>
  <c r="V465" i="1"/>
  <c r="V509" i="1"/>
  <c r="V487" i="1"/>
  <c r="V227" i="1"/>
  <c r="V239" i="1"/>
  <c r="X20" i="1"/>
  <c r="W77" i="1"/>
  <c r="W83" i="1"/>
  <c r="W170" i="1"/>
  <c r="W224" i="1" s="1"/>
  <c r="W254" i="1" s="1"/>
  <c r="W71" i="1"/>
  <c r="W167" i="1"/>
  <c r="W221" i="1" s="1"/>
  <c r="W251" i="1" s="1"/>
  <c r="W80" i="1"/>
  <c r="W155" i="1"/>
  <c r="W209" i="1" s="1"/>
  <c r="W161" i="1"/>
  <c r="W215" i="1" s="1"/>
  <c r="W245" i="1" s="1"/>
  <c r="W158" i="1"/>
  <c r="W212" i="1" s="1"/>
  <c r="W242" i="1" s="1"/>
  <c r="W86" i="1"/>
  <c r="W74" i="1"/>
  <c r="W164" i="1"/>
  <c r="W218" i="1" s="1"/>
  <c r="W248" i="1" s="1"/>
  <c r="V307" i="1"/>
  <c r="V263" i="1"/>
  <c r="V373" i="1"/>
  <c r="V329" i="1"/>
  <c r="V285" i="1"/>
  <c r="V351" i="1"/>
  <c r="V461" i="1"/>
  <c r="V395" i="1"/>
  <c r="V417" i="1"/>
  <c r="V505" i="1"/>
  <c r="V385" i="1"/>
  <c r="V297" i="1"/>
  <c r="V319" i="1"/>
  <c r="V275" i="1"/>
  <c r="V363" i="1"/>
  <c r="V473" i="1"/>
  <c r="V341" i="1"/>
  <c r="V451" i="1"/>
  <c r="W517" i="1"/>
  <c r="U256" i="1"/>
  <c r="U326" i="1"/>
  <c r="U344" i="1" s="1"/>
  <c r="U304" i="1"/>
  <c r="U322" i="1" s="1"/>
  <c r="U348" i="1"/>
  <c r="U366" i="1" s="1"/>
  <c r="U370" i="1"/>
  <c r="U388" i="1" s="1"/>
  <c r="U282" i="1"/>
  <c r="U300" i="1" s="1"/>
  <c r="U260" i="1"/>
  <c r="U278" i="1" s="1"/>
  <c r="U392" i="1"/>
  <c r="U410" i="1" s="1"/>
  <c r="U458" i="1"/>
  <c r="U476" i="1" s="1"/>
  <c r="U480" i="1"/>
  <c r="U498" i="1" s="1"/>
  <c r="U502" i="1"/>
  <c r="U520" i="1" s="1"/>
  <c r="U414" i="1"/>
  <c r="U432" i="1" s="1"/>
  <c r="U436" i="1"/>
  <c r="U454" i="1" s="1"/>
  <c r="V460" i="1"/>
  <c r="V478" i="1" s="1"/>
  <c r="V479" i="1" s="1"/>
  <c r="V532" i="1" s="1"/>
  <c r="V355" i="1"/>
  <c r="V399" i="1"/>
  <c r="W419" i="1"/>
  <c r="W375" i="1"/>
  <c r="W331" i="1"/>
  <c r="W265" i="1"/>
  <c r="W287" i="1"/>
  <c r="W353" i="1"/>
  <c r="W397" i="1"/>
  <c r="W309" i="1"/>
  <c r="W441" i="1"/>
  <c r="W463" i="1"/>
  <c r="V517" i="1"/>
  <c r="W485" i="1"/>
  <c r="V468" i="1"/>
  <c r="V396" i="1"/>
  <c r="V264" i="1"/>
  <c r="V308" i="1"/>
  <c r="V286" i="1"/>
  <c r="V330" i="1"/>
  <c r="V374" i="1"/>
  <c r="V352" i="1"/>
  <c r="V266" i="1"/>
  <c r="V310" i="1"/>
  <c r="V354" i="1"/>
  <c r="V332" i="1"/>
  <c r="V376" i="1"/>
  <c r="V288" i="1"/>
  <c r="V420" i="1"/>
  <c r="V398" i="1"/>
  <c r="W451" i="1"/>
  <c r="V482" i="1"/>
  <c r="V500" i="1" s="1"/>
  <c r="V501" i="1" s="1"/>
  <c r="V533" i="1" s="1"/>
  <c r="V443" i="1"/>
  <c r="V506" i="1"/>
  <c r="V440" i="1"/>
  <c r="V421" i="1"/>
  <c r="W315" i="1"/>
  <c r="W425" i="1"/>
  <c r="W293" i="1"/>
  <c r="W359" i="1"/>
  <c r="W381" i="1"/>
  <c r="W271" i="1"/>
  <c r="W337" i="1"/>
  <c r="W403" i="1"/>
  <c r="W469" i="1"/>
  <c r="W447" i="1"/>
  <c r="V270" i="1"/>
  <c r="V380" i="1"/>
  <c r="V358" i="1"/>
  <c r="V292" i="1"/>
  <c r="V402" i="1"/>
  <c r="V336" i="1"/>
  <c r="V314" i="1"/>
  <c r="V424" i="1"/>
  <c r="W512" i="1"/>
  <c r="V446" i="1"/>
  <c r="W490" i="1"/>
  <c r="V512" i="1"/>
  <c r="V490" i="1"/>
  <c r="V258" i="1"/>
  <c r="V259" i="1" s="1"/>
  <c r="V394" i="1"/>
  <c r="V412" i="1" s="1"/>
  <c r="V413" i="1" s="1"/>
  <c r="V529" i="1" s="1"/>
  <c r="V262" i="1"/>
  <c r="V280" i="1" s="1"/>
  <c r="V281" i="1" s="1"/>
  <c r="V328" i="1"/>
  <c r="V346" i="1" s="1"/>
  <c r="V347" i="1" s="1"/>
  <c r="V526" i="1" s="1"/>
  <c r="V284" i="1"/>
  <c r="V302" i="1" s="1"/>
  <c r="V303" i="1" s="1"/>
  <c r="V524" i="1" s="1"/>
  <c r="V350" i="1"/>
  <c r="V368" i="1" s="1"/>
  <c r="V369" i="1" s="1"/>
  <c r="V527" i="1" s="1"/>
  <c r="V372" i="1"/>
  <c r="V390" i="1" s="1"/>
  <c r="V391" i="1" s="1"/>
  <c r="V528" i="1" s="1"/>
  <c r="V306" i="1"/>
  <c r="V324" i="1" s="1"/>
  <c r="V325" i="1" s="1"/>
  <c r="V525" i="1" s="1"/>
  <c r="V416" i="1"/>
  <c r="V434" i="1" s="1"/>
  <c r="V435" i="1" s="1"/>
  <c r="V530" i="1" s="1"/>
  <c r="V438" i="1"/>
  <c r="V456" i="1" s="1"/>
  <c r="V457" i="1" s="1"/>
  <c r="V531" i="1" s="1"/>
  <c r="V382" i="1"/>
  <c r="V316" i="1"/>
  <c r="V360" i="1"/>
  <c r="V294" i="1"/>
  <c r="V404" i="1"/>
  <c r="V338" i="1"/>
  <c r="V492" i="1"/>
  <c r="V514" i="1"/>
  <c r="V470" i="1"/>
  <c r="V333" i="1"/>
  <c r="W509" i="1"/>
  <c r="W409" i="1"/>
  <c r="W387" i="1"/>
  <c r="W321" i="1"/>
  <c r="W277" i="1"/>
  <c r="W365" i="1"/>
  <c r="W343" i="1"/>
  <c r="W299" i="1"/>
  <c r="W497" i="1"/>
  <c r="W431" i="1"/>
  <c r="W453" i="1"/>
  <c r="W519" i="1"/>
  <c r="W475" i="1"/>
  <c r="W318" i="1"/>
  <c r="W384" i="1"/>
  <c r="W362" i="1"/>
  <c r="W340" i="1"/>
  <c r="W274" i="1"/>
  <c r="W406" i="1"/>
  <c r="W296" i="1"/>
  <c r="W428" i="1"/>
  <c r="W472" i="1"/>
  <c r="W450" i="1"/>
  <c r="W516" i="1"/>
  <c r="Y24" i="1"/>
  <c r="X78" i="1"/>
  <c r="X81" i="1"/>
  <c r="X165" i="1"/>
  <c r="X219" i="1" s="1"/>
  <c r="X249" i="1" s="1"/>
  <c r="X87" i="1"/>
  <c r="X168" i="1"/>
  <c r="X222" i="1" s="1"/>
  <c r="X252" i="1" s="1"/>
  <c r="X159" i="1"/>
  <c r="X213" i="1" s="1"/>
  <c r="X243" i="1" s="1"/>
  <c r="X72" i="1"/>
  <c r="X156" i="1"/>
  <c r="X210" i="1" s="1"/>
  <c r="X84" i="1"/>
  <c r="X162" i="1"/>
  <c r="X216" i="1" s="1"/>
  <c r="X246" i="1" s="1"/>
  <c r="X171" i="1"/>
  <c r="X225" i="1" s="1"/>
  <c r="X255" i="1" s="1"/>
  <c r="X75" i="1"/>
  <c r="V448" i="1"/>
  <c r="V317" i="1"/>
  <c r="V273" i="1"/>
  <c r="V339" i="1"/>
  <c r="V361" i="1"/>
  <c r="V383" i="1"/>
  <c r="V471" i="1"/>
  <c r="V427" i="1"/>
  <c r="V295" i="1"/>
  <c r="V405" i="1"/>
  <c r="V449" i="1"/>
  <c r="V493" i="1"/>
  <c r="V320" i="1"/>
  <c r="V276" i="1"/>
  <c r="V298" i="1"/>
  <c r="V364" i="1"/>
  <c r="V342" i="1"/>
  <c r="V386" i="1"/>
  <c r="V496" i="1"/>
  <c r="W474" i="1"/>
  <c r="W518" i="1"/>
  <c r="V452" i="1"/>
  <c r="V430" i="1"/>
  <c r="V474" i="1"/>
  <c r="V518" i="1"/>
  <c r="V408" i="1"/>
  <c r="W496" i="1"/>
  <c r="V313" i="1"/>
  <c r="V269" i="1"/>
  <c r="V401" i="1"/>
  <c r="V335" i="1"/>
  <c r="V291" i="1"/>
  <c r="V357" i="1"/>
  <c r="V379" i="1"/>
  <c r="V226" i="1"/>
  <c r="V238" i="1"/>
  <c r="W70" i="1"/>
  <c r="X4" i="1"/>
  <c r="W76" i="1"/>
  <c r="W82" i="1"/>
  <c r="W85" i="1"/>
  <c r="W154" i="1"/>
  <c r="W208" i="1" s="1"/>
  <c r="W160" i="1"/>
  <c r="W214" i="1" s="1"/>
  <c r="W244" i="1" s="1"/>
  <c r="W79" i="1"/>
  <c r="W166" i="1"/>
  <c r="W220" i="1" s="1"/>
  <c r="W250" i="1" s="1"/>
  <c r="W514" i="1" s="1"/>
  <c r="W169" i="1"/>
  <c r="W223" i="1" s="1"/>
  <c r="W253" i="1" s="1"/>
  <c r="W73" i="1"/>
  <c r="W157" i="1"/>
  <c r="W211" i="1" s="1"/>
  <c r="W241" i="1" s="1"/>
  <c r="W163" i="1"/>
  <c r="W217" i="1" s="1"/>
  <c r="W247" i="1" s="1"/>
  <c r="V407" i="1"/>
  <c r="V429" i="1"/>
  <c r="V483" i="1"/>
  <c r="V439" i="1"/>
  <c r="U257" i="1"/>
  <c r="U305" i="1"/>
  <c r="U323" i="1" s="1"/>
  <c r="U261" i="1"/>
  <c r="U279" i="1" s="1"/>
  <c r="U349" i="1"/>
  <c r="U367" i="1" s="1"/>
  <c r="U371" i="1"/>
  <c r="U389" i="1" s="1"/>
  <c r="U283" i="1"/>
  <c r="U301" i="1" s="1"/>
  <c r="U327" i="1"/>
  <c r="U345" i="1" s="1"/>
  <c r="U393" i="1"/>
  <c r="U411" i="1" s="1"/>
  <c r="U415" i="1"/>
  <c r="U433" i="1" s="1"/>
  <c r="V504" i="1"/>
  <c r="V522" i="1" s="1"/>
  <c r="V523" i="1" s="1"/>
  <c r="V534" i="1" s="1"/>
  <c r="V484" i="1"/>
  <c r="W443" i="1"/>
  <c r="V289" i="1"/>
  <c r="W228" i="1"/>
  <c r="W229" i="1" s="1"/>
  <c r="W240" i="1"/>
  <c r="W356" i="1"/>
  <c r="W312" i="1"/>
  <c r="W422" i="1"/>
  <c r="W268" i="1"/>
  <c r="W334" i="1"/>
  <c r="W290" i="1"/>
  <c r="W378" i="1"/>
  <c r="W510" i="1"/>
  <c r="W466" i="1"/>
  <c r="W400" i="1"/>
  <c r="W488" i="1"/>
  <c r="W444" i="1"/>
  <c r="W494" i="1"/>
  <c r="W258" i="1" l="1"/>
  <c r="W259" i="1" s="1"/>
  <c r="W394" i="1"/>
  <c r="W412" i="1" s="1"/>
  <c r="W413" i="1" s="1"/>
  <c r="W529" i="1" s="1"/>
  <c r="W350" i="1"/>
  <c r="W368" i="1" s="1"/>
  <c r="W369" i="1" s="1"/>
  <c r="W527" i="1" s="1"/>
  <c r="W306" i="1"/>
  <c r="W324" i="1" s="1"/>
  <c r="W325" i="1" s="1"/>
  <c r="W525" i="1" s="1"/>
  <c r="W372" i="1"/>
  <c r="W390" i="1" s="1"/>
  <c r="W391" i="1" s="1"/>
  <c r="W528" i="1" s="1"/>
  <c r="W328" i="1"/>
  <c r="W346" i="1" s="1"/>
  <c r="W347" i="1" s="1"/>
  <c r="W526" i="1" s="1"/>
  <c r="W284" i="1"/>
  <c r="W302" i="1" s="1"/>
  <c r="W303" i="1" s="1"/>
  <c r="W524" i="1" s="1"/>
  <c r="W262" i="1"/>
  <c r="W280" i="1" s="1"/>
  <c r="W281" i="1" s="1"/>
  <c r="W416" i="1"/>
  <c r="W434" i="1" s="1"/>
  <c r="W435" i="1" s="1"/>
  <c r="W530" i="1" s="1"/>
  <c r="W438" i="1"/>
  <c r="W456" i="1" s="1"/>
  <c r="W457" i="1" s="1"/>
  <c r="W531" i="1" s="1"/>
  <c r="W460" i="1"/>
  <c r="W478" i="1" s="1"/>
  <c r="W479" i="1" s="1"/>
  <c r="W532" i="1" s="1"/>
  <c r="W313" i="1"/>
  <c r="W379" i="1"/>
  <c r="W291" i="1"/>
  <c r="W335" i="1"/>
  <c r="W401" i="1"/>
  <c r="W357" i="1"/>
  <c r="W269" i="1"/>
  <c r="W445" i="1"/>
  <c r="W511" i="1"/>
  <c r="W423" i="1"/>
  <c r="W467" i="1"/>
  <c r="W310" i="1"/>
  <c r="W332" i="1"/>
  <c r="W266" i="1"/>
  <c r="W288" i="1"/>
  <c r="W354" i="1"/>
  <c r="W376" i="1"/>
  <c r="W420" i="1"/>
  <c r="W398" i="1"/>
  <c r="W442" i="1"/>
  <c r="W508" i="1"/>
  <c r="W486" i="1"/>
  <c r="W464" i="1"/>
  <c r="X384" i="1"/>
  <c r="X318" i="1"/>
  <c r="X406" i="1"/>
  <c r="X340" i="1"/>
  <c r="X428" i="1"/>
  <c r="X296" i="1"/>
  <c r="X362" i="1"/>
  <c r="X274" i="1"/>
  <c r="X450" i="1"/>
  <c r="X472" i="1"/>
  <c r="X516" i="1"/>
  <c r="X494" i="1"/>
  <c r="W448" i="1"/>
  <c r="W308" i="1"/>
  <c r="W374" i="1"/>
  <c r="W264" i="1"/>
  <c r="W396" i="1"/>
  <c r="W286" i="1"/>
  <c r="W352" i="1"/>
  <c r="W330" i="1"/>
  <c r="W462" i="1"/>
  <c r="W418" i="1"/>
  <c r="W440" i="1"/>
  <c r="W484" i="1"/>
  <c r="X484" i="1"/>
  <c r="W471" i="1"/>
  <c r="W361" i="1"/>
  <c r="W339" i="1"/>
  <c r="W383" i="1"/>
  <c r="W273" i="1"/>
  <c r="W295" i="1"/>
  <c r="W317" i="1"/>
  <c r="W427" i="1"/>
  <c r="W405" i="1"/>
  <c r="W493" i="1"/>
  <c r="W449" i="1"/>
  <c r="W515" i="1"/>
  <c r="W297" i="1"/>
  <c r="W319" i="1"/>
  <c r="W385" i="1"/>
  <c r="W341" i="1"/>
  <c r="W275" i="1"/>
  <c r="W363" i="1"/>
  <c r="W407" i="1"/>
  <c r="W473" i="1"/>
  <c r="W429" i="1"/>
  <c r="W226" i="1"/>
  <c r="W238" i="1"/>
  <c r="Y4" i="1"/>
  <c r="X76" i="1"/>
  <c r="X70" i="1"/>
  <c r="X154" i="1"/>
  <c r="X208" i="1" s="1"/>
  <c r="X82" i="1"/>
  <c r="X85" i="1"/>
  <c r="X73" i="1"/>
  <c r="X166" i="1"/>
  <c r="X220" i="1" s="1"/>
  <c r="X250" i="1" s="1"/>
  <c r="X160" i="1"/>
  <c r="X214" i="1" s="1"/>
  <c r="X244" i="1" s="1"/>
  <c r="X79" i="1"/>
  <c r="X169" i="1"/>
  <c r="X223" i="1" s="1"/>
  <c r="X253" i="1" s="1"/>
  <c r="X157" i="1"/>
  <c r="X211" i="1" s="1"/>
  <c r="X241" i="1" s="1"/>
  <c r="X163" i="1"/>
  <c r="X217" i="1" s="1"/>
  <c r="X247" i="1" s="1"/>
  <c r="W489" i="1"/>
  <c r="X228" i="1"/>
  <c r="X229" i="1" s="1"/>
  <c r="X240" i="1"/>
  <c r="Z24" i="1"/>
  <c r="Y78" i="1"/>
  <c r="Y81" i="1"/>
  <c r="Y171" i="1"/>
  <c r="Y225" i="1" s="1"/>
  <c r="Y255" i="1" s="1"/>
  <c r="Y84" i="1"/>
  <c r="Y168" i="1"/>
  <c r="Y222" i="1" s="1"/>
  <c r="Y252" i="1" s="1"/>
  <c r="Y159" i="1"/>
  <c r="Y213" i="1" s="1"/>
  <c r="Y243" i="1" s="1"/>
  <c r="Y72" i="1"/>
  <c r="Y87" i="1"/>
  <c r="Y75" i="1"/>
  <c r="Y165" i="1"/>
  <c r="Y219" i="1" s="1"/>
  <c r="Y249" i="1" s="1"/>
  <c r="Y156" i="1"/>
  <c r="Y210" i="1" s="1"/>
  <c r="Y162" i="1"/>
  <c r="Y216" i="1" s="1"/>
  <c r="Y246" i="1" s="1"/>
  <c r="W506" i="1"/>
  <c r="W292" i="1"/>
  <c r="W314" i="1"/>
  <c r="W380" i="1"/>
  <c r="W402" i="1"/>
  <c r="W270" i="1"/>
  <c r="W358" i="1"/>
  <c r="W336" i="1"/>
  <c r="W424" i="1"/>
  <c r="W468" i="1"/>
  <c r="W446" i="1"/>
  <c r="W333" i="1"/>
  <c r="W377" i="1"/>
  <c r="W289" i="1"/>
  <c r="W311" i="1"/>
  <c r="W399" i="1"/>
  <c r="W421" i="1"/>
  <c r="W267" i="1"/>
  <c r="W487" i="1"/>
  <c r="W465" i="1"/>
  <c r="W355" i="1"/>
  <c r="Y20" i="1"/>
  <c r="X77" i="1"/>
  <c r="X170" i="1"/>
  <c r="X224" i="1" s="1"/>
  <c r="X254" i="1" s="1"/>
  <c r="X164" i="1"/>
  <c r="X218" i="1" s="1"/>
  <c r="X248" i="1" s="1"/>
  <c r="X71" i="1"/>
  <c r="X83" i="1"/>
  <c r="X86" i="1"/>
  <c r="X167" i="1"/>
  <c r="X221" i="1" s="1"/>
  <c r="X251" i="1" s="1"/>
  <c r="X155" i="1"/>
  <c r="X209" i="1" s="1"/>
  <c r="X161" i="1"/>
  <c r="X215" i="1" s="1"/>
  <c r="X245" i="1" s="1"/>
  <c r="X158" i="1"/>
  <c r="X212" i="1" s="1"/>
  <c r="X242" i="1" s="1"/>
  <c r="X74" i="1"/>
  <c r="X80" i="1"/>
  <c r="W504" i="1"/>
  <c r="W522" i="1" s="1"/>
  <c r="W523" i="1" s="1"/>
  <c r="W534" i="1" s="1"/>
  <c r="W316" i="1"/>
  <c r="W360" i="1"/>
  <c r="W382" i="1"/>
  <c r="W338" i="1"/>
  <c r="W294" i="1"/>
  <c r="W404" i="1"/>
  <c r="W470" i="1"/>
  <c r="W272" i="1"/>
  <c r="W426" i="1"/>
  <c r="X448" i="1"/>
  <c r="X299" i="1"/>
  <c r="X409" i="1"/>
  <c r="X343" i="1"/>
  <c r="X387" i="1"/>
  <c r="X321" i="1"/>
  <c r="X277" i="1"/>
  <c r="X365" i="1"/>
  <c r="X431" i="1"/>
  <c r="X453" i="1"/>
  <c r="X475" i="1"/>
  <c r="X519" i="1"/>
  <c r="X293" i="1"/>
  <c r="X359" i="1"/>
  <c r="X271" i="1"/>
  <c r="X381" i="1"/>
  <c r="X315" i="1"/>
  <c r="X403" i="1"/>
  <c r="X425" i="1"/>
  <c r="X337" i="1"/>
  <c r="X469" i="1"/>
  <c r="X447" i="1"/>
  <c r="X491" i="1"/>
  <c r="W482" i="1"/>
  <c r="W500" i="1" s="1"/>
  <c r="W501" i="1" s="1"/>
  <c r="W533" i="1" s="1"/>
  <c r="X513" i="1"/>
  <c r="W227" i="1"/>
  <c r="W239" i="1"/>
  <c r="W481" i="1" s="1"/>
  <c r="W499" i="1" s="1"/>
  <c r="W298" i="1"/>
  <c r="W320" i="1"/>
  <c r="W276" i="1"/>
  <c r="W342" i="1"/>
  <c r="W364" i="1"/>
  <c r="W386" i="1"/>
  <c r="W408" i="1"/>
  <c r="W430" i="1"/>
  <c r="V257" i="1"/>
  <c r="V327" i="1"/>
  <c r="V345" i="1" s="1"/>
  <c r="V371" i="1"/>
  <c r="V389" i="1" s="1"/>
  <c r="V261" i="1"/>
  <c r="V279" i="1" s="1"/>
  <c r="V283" i="1"/>
  <c r="V301" i="1" s="1"/>
  <c r="V305" i="1"/>
  <c r="V323" i="1" s="1"/>
  <c r="V349" i="1"/>
  <c r="V367" i="1" s="1"/>
  <c r="V393" i="1"/>
  <c r="V411" i="1" s="1"/>
  <c r="V415" i="1"/>
  <c r="V433" i="1" s="1"/>
  <c r="V503" i="1"/>
  <c r="V521" i="1" s="1"/>
  <c r="V481" i="1"/>
  <c r="V499" i="1" s="1"/>
  <c r="V437" i="1"/>
  <c r="V455" i="1" s="1"/>
  <c r="V459" i="1"/>
  <c r="V477" i="1" s="1"/>
  <c r="W307" i="1"/>
  <c r="W329" i="1"/>
  <c r="W351" i="1"/>
  <c r="W285" i="1"/>
  <c r="W263" i="1"/>
  <c r="W395" i="1"/>
  <c r="W373" i="1"/>
  <c r="W417" i="1"/>
  <c r="W461" i="1"/>
  <c r="W439" i="1"/>
  <c r="W483" i="1"/>
  <c r="W505" i="1"/>
  <c r="V256" i="1"/>
  <c r="V370" i="1"/>
  <c r="V388" i="1" s="1"/>
  <c r="V304" i="1"/>
  <c r="V322" i="1" s="1"/>
  <c r="V392" i="1"/>
  <c r="V410" i="1" s="1"/>
  <c r="V348" i="1"/>
  <c r="V366" i="1" s="1"/>
  <c r="V260" i="1"/>
  <c r="V278" i="1" s="1"/>
  <c r="V326" i="1"/>
  <c r="V344" i="1" s="1"/>
  <c r="V282" i="1"/>
  <c r="V300" i="1" s="1"/>
  <c r="V414" i="1"/>
  <c r="V432" i="1" s="1"/>
  <c r="V480" i="1"/>
  <c r="V498" i="1" s="1"/>
  <c r="V458" i="1"/>
  <c r="V476" i="1" s="1"/>
  <c r="V436" i="1"/>
  <c r="V454" i="1" s="1"/>
  <c r="V502" i="1"/>
  <c r="V520" i="1" s="1"/>
  <c r="W452" i="1"/>
  <c r="W492" i="1"/>
  <c r="X312" i="1"/>
  <c r="X334" i="1"/>
  <c r="X290" i="1"/>
  <c r="X356" i="1"/>
  <c r="X400" i="1"/>
  <c r="X466" i="1"/>
  <c r="X268" i="1"/>
  <c r="X378" i="1"/>
  <c r="X422" i="1"/>
  <c r="X488" i="1"/>
  <c r="X444" i="1"/>
  <c r="X510" i="1"/>
  <c r="X265" i="1"/>
  <c r="X309" i="1"/>
  <c r="X353" i="1"/>
  <c r="X419" i="1"/>
  <c r="X397" i="1"/>
  <c r="X375" i="1"/>
  <c r="X287" i="1"/>
  <c r="X331" i="1"/>
  <c r="X441" i="1"/>
  <c r="X463" i="1"/>
  <c r="X485" i="1"/>
  <c r="X507" i="1"/>
  <c r="X497" i="1"/>
  <c r="W495" i="1"/>
  <c r="X227" i="1" l="1"/>
  <c r="X239" i="1"/>
  <c r="Y228" i="1"/>
  <c r="Y229" i="1" s="1"/>
  <c r="Y240" i="1"/>
  <c r="X313" i="1"/>
  <c r="X335" i="1"/>
  <c r="X357" i="1"/>
  <c r="X401" i="1"/>
  <c r="X379" i="1"/>
  <c r="X291" i="1"/>
  <c r="X269" i="1"/>
  <c r="X423" i="1"/>
  <c r="X511" i="1"/>
  <c r="X383" i="1"/>
  <c r="X317" i="1"/>
  <c r="X361" i="1"/>
  <c r="X339" i="1"/>
  <c r="X273" i="1"/>
  <c r="X405" i="1"/>
  <c r="X295" i="1"/>
  <c r="X471" i="1"/>
  <c r="X427" i="1"/>
  <c r="X493" i="1"/>
  <c r="X449" i="1"/>
  <c r="X515" i="1"/>
  <c r="Y315" i="1"/>
  <c r="Y381" i="1"/>
  <c r="Y425" i="1"/>
  <c r="Y403" i="1"/>
  <c r="Y293" i="1"/>
  <c r="Y337" i="1"/>
  <c r="Y271" i="1"/>
  <c r="Y359" i="1"/>
  <c r="Y447" i="1"/>
  <c r="Y469" i="1"/>
  <c r="Y513" i="1"/>
  <c r="Y491" i="1"/>
  <c r="X307" i="1"/>
  <c r="X329" i="1"/>
  <c r="X351" i="1"/>
  <c r="X395" i="1"/>
  <c r="X263" i="1"/>
  <c r="X285" i="1"/>
  <c r="X373" i="1"/>
  <c r="X461" i="1"/>
  <c r="X483" i="1"/>
  <c r="X417" i="1"/>
  <c r="X505" i="1"/>
  <c r="X226" i="1"/>
  <c r="X238" i="1"/>
  <c r="W256" i="1"/>
  <c r="W348" i="1"/>
  <c r="W366" i="1" s="1"/>
  <c r="W370" i="1"/>
  <c r="W388" i="1" s="1"/>
  <c r="W282" i="1"/>
  <c r="W300" i="1" s="1"/>
  <c r="W326" i="1"/>
  <c r="W344" i="1" s="1"/>
  <c r="W304" i="1"/>
  <c r="W322" i="1" s="1"/>
  <c r="W392" i="1"/>
  <c r="W410" i="1" s="1"/>
  <c r="W260" i="1"/>
  <c r="W278" i="1" s="1"/>
  <c r="W458" i="1"/>
  <c r="W476" i="1" s="1"/>
  <c r="W414" i="1"/>
  <c r="W432" i="1" s="1"/>
  <c r="W480" i="1"/>
  <c r="W498" i="1" s="1"/>
  <c r="W436" i="1"/>
  <c r="W454" i="1" s="1"/>
  <c r="W502" i="1"/>
  <c r="W520" i="1" s="1"/>
  <c r="X467" i="1"/>
  <c r="X439" i="1"/>
  <c r="X374" i="1"/>
  <c r="X264" i="1"/>
  <c r="X308" i="1"/>
  <c r="X330" i="1"/>
  <c r="X352" i="1"/>
  <c r="X396" i="1"/>
  <c r="X286" i="1"/>
  <c r="X462" i="1"/>
  <c r="X418" i="1"/>
  <c r="X506" i="1"/>
  <c r="X276" i="1"/>
  <c r="X298" i="1"/>
  <c r="X320" i="1"/>
  <c r="X364" i="1"/>
  <c r="X386" i="1"/>
  <c r="X342" i="1"/>
  <c r="X430" i="1"/>
  <c r="X408" i="1"/>
  <c r="X496" i="1"/>
  <c r="X474" i="1"/>
  <c r="X452" i="1"/>
  <c r="Y318" i="1"/>
  <c r="Y384" i="1"/>
  <c r="Y428" i="1"/>
  <c r="Y296" i="1"/>
  <c r="Y362" i="1"/>
  <c r="Y340" i="1"/>
  <c r="Y274" i="1"/>
  <c r="Y406" i="1"/>
  <c r="Y472" i="1"/>
  <c r="Y450" i="1"/>
  <c r="Y516" i="1"/>
  <c r="Y494" i="1"/>
  <c r="X518" i="1"/>
  <c r="X275" i="1"/>
  <c r="X297" i="1"/>
  <c r="X363" i="1"/>
  <c r="X319" i="1"/>
  <c r="X341" i="1"/>
  <c r="X385" i="1"/>
  <c r="X473" i="1"/>
  <c r="X429" i="1"/>
  <c r="X407" i="1"/>
  <c r="X495" i="1"/>
  <c r="X517" i="1"/>
  <c r="X451" i="1"/>
  <c r="Z20" i="1"/>
  <c r="Y77" i="1"/>
  <c r="Y86" i="1"/>
  <c r="Y161" i="1"/>
  <c r="Y215" i="1" s="1"/>
  <c r="Y245" i="1" s="1"/>
  <c r="Y83" i="1"/>
  <c r="Y80" i="1"/>
  <c r="Y74" i="1"/>
  <c r="Y71" i="1"/>
  <c r="Y170" i="1"/>
  <c r="Y224" i="1" s="1"/>
  <c r="Y254" i="1" s="1"/>
  <c r="Y164" i="1"/>
  <c r="Y218" i="1" s="1"/>
  <c r="Y248" i="1" s="1"/>
  <c r="Y155" i="1"/>
  <c r="Y209" i="1" s="1"/>
  <c r="Y167" i="1"/>
  <c r="Y221" i="1" s="1"/>
  <c r="Y251" i="1" s="1"/>
  <c r="Y158" i="1"/>
  <c r="Y212" i="1" s="1"/>
  <c r="Y242" i="1" s="1"/>
  <c r="Y277" i="1"/>
  <c r="Y409" i="1"/>
  <c r="Y299" i="1"/>
  <c r="Y343" i="1"/>
  <c r="Y365" i="1"/>
  <c r="Y387" i="1"/>
  <c r="Y431" i="1"/>
  <c r="Y321" i="1"/>
  <c r="Y453" i="1"/>
  <c r="Y475" i="1"/>
  <c r="Y497" i="1"/>
  <c r="Y519" i="1"/>
  <c r="X258" i="1"/>
  <c r="X259" i="1" s="1"/>
  <c r="X372" i="1"/>
  <c r="X390" i="1" s="1"/>
  <c r="X391" i="1" s="1"/>
  <c r="X528" i="1" s="1"/>
  <c r="X284" i="1"/>
  <c r="X302" i="1" s="1"/>
  <c r="X303" i="1" s="1"/>
  <c r="X524" i="1" s="1"/>
  <c r="X306" i="1"/>
  <c r="X324" i="1" s="1"/>
  <c r="X325" i="1" s="1"/>
  <c r="X525" i="1" s="1"/>
  <c r="X350" i="1"/>
  <c r="X368" i="1" s="1"/>
  <c r="X369" i="1" s="1"/>
  <c r="X527" i="1" s="1"/>
  <c r="X262" i="1"/>
  <c r="X280" i="1" s="1"/>
  <c r="X281" i="1" s="1"/>
  <c r="X328" i="1"/>
  <c r="X346" i="1" s="1"/>
  <c r="X347" i="1" s="1"/>
  <c r="X526" i="1" s="1"/>
  <c r="X394" i="1"/>
  <c r="X412" i="1" s="1"/>
  <c r="X413" i="1" s="1"/>
  <c r="X529" i="1" s="1"/>
  <c r="X416" i="1"/>
  <c r="X434" i="1" s="1"/>
  <c r="X435" i="1" s="1"/>
  <c r="X530" i="1" s="1"/>
  <c r="X438" i="1"/>
  <c r="X456" i="1" s="1"/>
  <c r="X457" i="1" s="1"/>
  <c r="X531" i="1" s="1"/>
  <c r="X460" i="1"/>
  <c r="X478" i="1" s="1"/>
  <c r="X479" i="1" s="1"/>
  <c r="X532" i="1" s="1"/>
  <c r="X504" i="1"/>
  <c r="X522" i="1" s="1"/>
  <c r="X523" i="1" s="1"/>
  <c r="X534" i="1" s="1"/>
  <c r="X482" i="1"/>
  <c r="X500" i="1" s="1"/>
  <c r="X501" i="1" s="1"/>
  <c r="X533" i="1" s="1"/>
  <c r="X310" i="1"/>
  <c r="X354" i="1"/>
  <c r="X288" i="1"/>
  <c r="X376" i="1"/>
  <c r="X266" i="1"/>
  <c r="X332" i="1"/>
  <c r="X420" i="1"/>
  <c r="X398" i="1"/>
  <c r="X442" i="1"/>
  <c r="X464" i="1"/>
  <c r="Y76" i="1"/>
  <c r="Y70" i="1"/>
  <c r="Z4" i="1"/>
  <c r="Y154" i="1"/>
  <c r="Y208" i="1" s="1"/>
  <c r="Y85" i="1"/>
  <c r="Y82" i="1"/>
  <c r="Y166" i="1"/>
  <c r="Y220" i="1" s="1"/>
  <c r="Y250" i="1" s="1"/>
  <c r="Y160" i="1"/>
  <c r="Y214" i="1" s="1"/>
  <c r="Y244" i="1" s="1"/>
  <c r="Y169" i="1"/>
  <c r="Y223" i="1" s="1"/>
  <c r="Y253" i="1" s="1"/>
  <c r="Y79" i="1"/>
  <c r="Y73" i="1"/>
  <c r="Y163" i="1"/>
  <c r="Y217" i="1" s="1"/>
  <c r="Y247" i="1" s="1"/>
  <c r="Y157" i="1"/>
  <c r="Y211" i="1" s="1"/>
  <c r="Y241" i="1" s="1"/>
  <c r="X486" i="1"/>
  <c r="W257" i="1"/>
  <c r="W261" i="1"/>
  <c r="W279" i="1" s="1"/>
  <c r="W283" i="1"/>
  <c r="W301" i="1" s="1"/>
  <c r="W371" i="1"/>
  <c r="W389" i="1" s="1"/>
  <c r="W349" i="1"/>
  <c r="W367" i="1" s="1"/>
  <c r="W327" i="1"/>
  <c r="W345" i="1" s="1"/>
  <c r="W305" i="1"/>
  <c r="W323" i="1" s="1"/>
  <c r="W393" i="1"/>
  <c r="W411" i="1" s="1"/>
  <c r="W415" i="1"/>
  <c r="W433" i="1" s="1"/>
  <c r="W459" i="1"/>
  <c r="W477" i="1" s="1"/>
  <c r="W437" i="1"/>
  <c r="W455" i="1" s="1"/>
  <c r="X270" i="1"/>
  <c r="X358" i="1"/>
  <c r="X292" i="1"/>
  <c r="X336" i="1"/>
  <c r="X314" i="1"/>
  <c r="X402" i="1"/>
  <c r="X380" i="1"/>
  <c r="X468" i="1"/>
  <c r="X446" i="1"/>
  <c r="X424" i="1"/>
  <c r="X490" i="1"/>
  <c r="Y419" i="1"/>
  <c r="Y331" i="1"/>
  <c r="Y375" i="1"/>
  <c r="Y353" i="1"/>
  <c r="Y397" i="1"/>
  <c r="Y265" i="1"/>
  <c r="Y309" i="1"/>
  <c r="Y287" i="1"/>
  <c r="Y441" i="1"/>
  <c r="Y463" i="1"/>
  <c r="Y507" i="1"/>
  <c r="Y485" i="1"/>
  <c r="X360" i="1"/>
  <c r="X382" i="1"/>
  <c r="X316" i="1"/>
  <c r="X338" i="1"/>
  <c r="X294" i="1"/>
  <c r="X404" i="1"/>
  <c r="X272" i="1"/>
  <c r="X426" i="1"/>
  <c r="X470" i="1"/>
  <c r="X492" i="1"/>
  <c r="X514" i="1"/>
  <c r="W503" i="1"/>
  <c r="W521" i="1" s="1"/>
  <c r="X289" i="1"/>
  <c r="X399" i="1"/>
  <c r="X377" i="1"/>
  <c r="X311" i="1"/>
  <c r="X421" i="1"/>
  <c r="X355" i="1"/>
  <c r="X465" i="1"/>
  <c r="X333" i="1"/>
  <c r="X267" i="1"/>
  <c r="X487" i="1"/>
  <c r="X509" i="1"/>
  <c r="X443" i="1"/>
  <c r="X512" i="1"/>
  <c r="Y334" i="1"/>
  <c r="Y290" i="1"/>
  <c r="Y356" i="1"/>
  <c r="Y378" i="1"/>
  <c r="Y312" i="1"/>
  <c r="Y268" i="1"/>
  <c r="Y400" i="1"/>
  <c r="Y444" i="1"/>
  <c r="Y466" i="1"/>
  <c r="Y422" i="1"/>
  <c r="Y510" i="1"/>
  <c r="Y488" i="1"/>
  <c r="Z84" i="1"/>
  <c r="AD84" i="1" s="1"/>
  <c r="F356" i="19" s="1"/>
  <c r="F361" i="19" s="1"/>
  <c r="Z75" i="1"/>
  <c r="AD75" i="1" s="1"/>
  <c r="C356" i="19" s="1"/>
  <c r="C361" i="19" s="1"/>
  <c r="Z165" i="1"/>
  <c r="Z87" i="1"/>
  <c r="AD87" i="1" s="1"/>
  <c r="G356" i="19" s="1"/>
  <c r="G361" i="19" s="1"/>
  <c r="Z171" i="1"/>
  <c r="Z156" i="1"/>
  <c r="Z162" i="1"/>
  <c r="Z159" i="1"/>
  <c r="Z72" i="1"/>
  <c r="AD72" i="1" s="1"/>
  <c r="B356" i="19" s="1"/>
  <c r="B361" i="19" s="1"/>
  <c r="Z81" i="1"/>
  <c r="AD81" i="1" s="1"/>
  <c r="E356" i="19" s="1"/>
  <c r="E361" i="19" s="1"/>
  <c r="Z78" i="1"/>
  <c r="AD78" i="1" s="1"/>
  <c r="D356" i="19" s="1"/>
  <c r="D361" i="19" s="1"/>
  <c r="Z168" i="1"/>
  <c r="X440" i="1"/>
  <c r="X508" i="1"/>
  <c r="X489" i="1"/>
  <c r="X445" i="1"/>
  <c r="Y360" i="1" l="1"/>
  <c r="Y316" i="1"/>
  <c r="Y382" i="1"/>
  <c r="Y294" i="1"/>
  <c r="Y404" i="1"/>
  <c r="Y338" i="1"/>
  <c r="Y426" i="1"/>
  <c r="Y470" i="1"/>
  <c r="Y272" i="1"/>
  <c r="Y448" i="1"/>
  <c r="Y492" i="1"/>
  <c r="Y514" i="1"/>
  <c r="Z225" i="1"/>
  <c r="AD171" i="1"/>
  <c r="Y358" i="1"/>
  <c r="Y336" i="1"/>
  <c r="Y314" i="1"/>
  <c r="Y424" i="1"/>
  <c r="Y402" i="1"/>
  <c r="Y270" i="1"/>
  <c r="Y292" i="1"/>
  <c r="Y380" i="1"/>
  <c r="Y446" i="1"/>
  <c r="Y468" i="1"/>
  <c r="Y490" i="1"/>
  <c r="Y512" i="1"/>
  <c r="X256" i="1"/>
  <c r="X414" i="1"/>
  <c r="X432" i="1" s="1"/>
  <c r="X370" i="1"/>
  <c r="X388" i="1" s="1"/>
  <c r="X326" i="1"/>
  <c r="X344" i="1" s="1"/>
  <c r="X282" i="1"/>
  <c r="X300" i="1" s="1"/>
  <c r="X392" i="1"/>
  <c r="X410" i="1" s="1"/>
  <c r="X260" i="1"/>
  <c r="X278" i="1" s="1"/>
  <c r="X304" i="1"/>
  <c r="X322" i="1" s="1"/>
  <c r="X348" i="1"/>
  <c r="X366" i="1" s="1"/>
  <c r="X458" i="1"/>
  <c r="X476" i="1" s="1"/>
  <c r="X480" i="1"/>
  <c r="X498" i="1" s="1"/>
  <c r="X436" i="1"/>
  <c r="X454" i="1" s="1"/>
  <c r="X502" i="1"/>
  <c r="X520" i="1" s="1"/>
  <c r="Z222" i="1"/>
  <c r="AD168" i="1"/>
  <c r="Z213" i="1"/>
  <c r="AD159" i="1"/>
  <c r="Y307" i="1"/>
  <c r="Y285" i="1"/>
  <c r="Y263" i="1"/>
  <c r="Y395" i="1"/>
  <c r="Y329" i="1"/>
  <c r="Y373" i="1"/>
  <c r="Y351" i="1"/>
  <c r="Y417" i="1"/>
  <c r="Y461" i="1"/>
  <c r="Y505" i="1"/>
  <c r="Y483" i="1"/>
  <c r="Y439" i="1"/>
  <c r="Y297" i="1"/>
  <c r="Y319" i="1"/>
  <c r="Y275" i="1"/>
  <c r="Y385" i="1"/>
  <c r="Y341" i="1"/>
  <c r="Y363" i="1"/>
  <c r="Y473" i="1"/>
  <c r="Y429" i="1"/>
  <c r="Y495" i="1"/>
  <c r="Y407" i="1"/>
  <c r="Y451" i="1"/>
  <c r="Y517" i="1"/>
  <c r="Y308" i="1"/>
  <c r="Y264" i="1"/>
  <c r="Y330" i="1"/>
  <c r="Y374" i="1"/>
  <c r="Y396" i="1"/>
  <c r="Y352" i="1"/>
  <c r="Y286" i="1"/>
  <c r="Y418" i="1"/>
  <c r="Y462" i="1"/>
  <c r="Y440" i="1"/>
  <c r="Y506" i="1"/>
  <c r="Y484" i="1"/>
  <c r="Y298" i="1"/>
  <c r="Y276" i="1"/>
  <c r="Y320" i="1"/>
  <c r="Y386" i="1"/>
  <c r="Y342" i="1"/>
  <c r="Y364" i="1"/>
  <c r="Y408" i="1"/>
  <c r="Y430" i="1"/>
  <c r="Y452" i="1"/>
  <c r="Y474" i="1"/>
  <c r="Y518" i="1"/>
  <c r="Z86" i="1"/>
  <c r="AD86" i="1" s="1"/>
  <c r="Z80" i="1"/>
  <c r="AD80" i="1" s="1"/>
  <c r="Z164" i="1"/>
  <c r="Z71" i="1"/>
  <c r="AD71" i="1" s="1"/>
  <c r="Z155" i="1"/>
  <c r="Z167" i="1"/>
  <c r="Z77" i="1"/>
  <c r="AD77" i="1" s="1"/>
  <c r="Z170" i="1"/>
  <c r="Z74" i="1"/>
  <c r="AD74" i="1" s="1"/>
  <c r="Z83" i="1"/>
  <c r="AD83" i="1" s="1"/>
  <c r="Z161" i="1"/>
  <c r="Z158" i="1"/>
  <c r="Y496" i="1"/>
  <c r="X257" i="1"/>
  <c r="X349" i="1"/>
  <c r="X367" i="1" s="1"/>
  <c r="X327" i="1"/>
  <c r="X345" i="1" s="1"/>
  <c r="X371" i="1"/>
  <c r="X389" i="1" s="1"/>
  <c r="X305" i="1"/>
  <c r="X323" i="1" s="1"/>
  <c r="X283" i="1"/>
  <c r="X301" i="1" s="1"/>
  <c r="X261" i="1"/>
  <c r="X279" i="1" s="1"/>
  <c r="X415" i="1"/>
  <c r="X433" i="1" s="1"/>
  <c r="X393" i="1"/>
  <c r="X411" i="1" s="1"/>
  <c r="X459" i="1"/>
  <c r="X477" i="1" s="1"/>
  <c r="X437" i="1"/>
  <c r="X455" i="1" s="1"/>
  <c r="X481" i="1"/>
  <c r="X499" i="1" s="1"/>
  <c r="X503" i="1"/>
  <c r="X521" i="1" s="1"/>
  <c r="Z210" i="1"/>
  <c r="AD156" i="1"/>
  <c r="Z70" i="1"/>
  <c r="AD70" i="1" s="1"/>
  <c r="Z76" i="1"/>
  <c r="AD76" i="1" s="1"/>
  <c r="Z154" i="1"/>
  <c r="Z85" i="1"/>
  <c r="AD85" i="1" s="1"/>
  <c r="Z82" i="1"/>
  <c r="AD82" i="1" s="1"/>
  <c r="Z73" i="1"/>
  <c r="AD73" i="1" s="1"/>
  <c r="Z79" i="1"/>
  <c r="AD79" i="1" s="1"/>
  <c r="Z166" i="1"/>
  <c r="Z160" i="1"/>
  <c r="Z169" i="1"/>
  <c r="Z157" i="1"/>
  <c r="Z163" i="1"/>
  <c r="Y227" i="1"/>
  <c r="Y239" i="1"/>
  <c r="Y258" i="1"/>
  <c r="Y259" i="1" s="1"/>
  <c r="Y394" i="1"/>
  <c r="Y412" i="1" s="1"/>
  <c r="Y413" i="1" s="1"/>
  <c r="Y529" i="1" s="1"/>
  <c r="Y262" i="1"/>
  <c r="Y280" i="1" s="1"/>
  <c r="Y281" i="1" s="1"/>
  <c r="Y284" i="1"/>
  <c r="Y302" i="1" s="1"/>
  <c r="Y303" i="1" s="1"/>
  <c r="Y524" i="1" s="1"/>
  <c r="Y372" i="1"/>
  <c r="Y390" i="1" s="1"/>
  <c r="Y391" i="1" s="1"/>
  <c r="Y528" i="1" s="1"/>
  <c r="Y306" i="1"/>
  <c r="Y324" i="1" s="1"/>
  <c r="Y325" i="1" s="1"/>
  <c r="Y525" i="1" s="1"/>
  <c r="Y328" i="1"/>
  <c r="Y346" i="1" s="1"/>
  <c r="Y347" i="1" s="1"/>
  <c r="Y526" i="1" s="1"/>
  <c r="Y350" i="1"/>
  <c r="Y368" i="1" s="1"/>
  <c r="Y369" i="1" s="1"/>
  <c r="Y527" i="1" s="1"/>
  <c r="Y416" i="1"/>
  <c r="Y434" i="1" s="1"/>
  <c r="Y435" i="1" s="1"/>
  <c r="Y530" i="1" s="1"/>
  <c r="Y438" i="1"/>
  <c r="Y456" i="1" s="1"/>
  <c r="Y457" i="1" s="1"/>
  <c r="Y531" i="1" s="1"/>
  <c r="Y460" i="1"/>
  <c r="Y478" i="1" s="1"/>
  <c r="Y479" i="1" s="1"/>
  <c r="Y532" i="1" s="1"/>
  <c r="Y482" i="1"/>
  <c r="Y500" i="1" s="1"/>
  <c r="Y501" i="1" s="1"/>
  <c r="Y533" i="1" s="1"/>
  <c r="Y504" i="1"/>
  <c r="Y522" i="1" s="1"/>
  <c r="Y523" i="1" s="1"/>
  <c r="Y534" i="1" s="1"/>
  <c r="Z216" i="1"/>
  <c r="AD162" i="1"/>
  <c r="Z219" i="1"/>
  <c r="AD165" i="1"/>
  <c r="Y313" i="1"/>
  <c r="Y291" i="1"/>
  <c r="Y401" i="1"/>
  <c r="Y379" i="1"/>
  <c r="Y269" i="1"/>
  <c r="Y335" i="1"/>
  <c r="Y357" i="1"/>
  <c r="Y423" i="1"/>
  <c r="Y445" i="1"/>
  <c r="Y511" i="1"/>
  <c r="Y467" i="1"/>
  <c r="Y489" i="1"/>
  <c r="Y354" i="1"/>
  <c r="Y266" i="1"/>
  <c r="Y288" i="1"/>
  <c r="Y332" i="1"/>
  <c r="Y310" i="1"/>
  <c r="Y376" i="1"/>
  <c r="Y398" i="1"/>
  <c r="Y420" i="1"/>
  <c r="Y442" i="1"/>
  <c r="Y464" i="1"/>
  <c r="Y486" i="1"/>
  <c r="Y508" i="1"/>
  <c r="Y226" i="1"/>
  <c r="Y238" i="1"/>
  <c r="Y361" i="1"/>
  <c r="Y317" i="1"/>
  <c r="Y295" i="1"/>
  <c r="Y273" i="1"/>
  <c r="Y383" i="1"/>
  <c r="Y339" i="1"/>
  <c r="Y427" i="1"/>
  <c r="Y471" i="1"/>
  <c r="Y405" i="1"/>
  <c r="Y493" i="1"/>
  <c r="Y449" i="1"/>
  <c r="Y515" i="1"/>
  <c r="Y311" i="1"/>
  <c r="Y465" i="1"/>
  <c r="Y399" i="1"/>
  <c r="Y289" i="1"/>
  <c r="Y267" i="1"/>
  <c r="Y377" i="1"/>
  <c r="Y421" i="1"/>
  <c r="Y333" i="1"/>
  <c r="Y487" i="1"/>
  <c r="Y355" i="1"/>
  <c r="Y443" i="1"/>
  <c r="Y509" i="1"/>
  <c r="Z217" i="1" l="1"/>
  <c r="AD163" i="1"/>
  <c r="Z212" i="1"/>
  <c r="AD158" i="1"/>
  <c r="Z211" i="1"/>
  <c r="AD157" i="1"/>
  <c r="Y257" i="1"/>
  <c r="Y349" i="1"/>
  <c r="Y367" i="1" s="1"/>
  <c r="Y261" i="1"/>
  <c r="Y279" i="1" s="1"/>
  <c r="Y305" i="1"/>
  <c r="Y323" i="1" s="1"/>
  <c r="Y371" i="1"/>
  <c r="Y389" i="1" s="1"/>
  <c r="Y283" i="1"/>
  <c r="Y301" i="1" s="1"/>
  <c r="Y327" i="1"/>
  <c r="Y345" i="1" s="1"/>
  <c r="Y415" i="1"/>
  <c r="Y433" i="1" s="1"/>
  <c r="Y393" i="1"/>
  <c r="Y411" i="1" s="1"/>
  <c r="Y437" i="1"/>
  <c r="Y455" i="1" s="1"/>
  <c r="Y459" i="1"/>
  <c r="Y477" i="1" s="1"/>
  <c r="Y481" i="1"/>
  <c r="Y499" i="1" s="1"/>
  <c r="Y503" i="1"/>
  <c r="Y521" i="1" s="1"/>
  <c r="Z221" i="1"/>
  <c r="AD167" i="1"/>
  <c r="AD222" i="1"/>
  <c r="F366" i="19" s="1"/>
  <c r="F371" i="19" s="1"/>
  <c r="Z252" i="1"/>
  <c r="Z224" i="1"/>
  <c r="AD170" i="1"/>
  <c r="Z243" i="1"/>
  <c r="AD213" i="1"/>
  <c r="C366" i="19" s="1"/>
  <c r="C371" i="19" s="1"/>
  <c r="Z208" i="1"/>
  <c r="AD154" i="1"/>
  <c r="Z249" i="1"/>
  <c r="AD219" i="1"/>
  <c r="E366" i="19" s="1"/>
  <c r="E371" i="19" s="1"/>
  <c r="Z223" i="1"/>
  <c r="AD169" i="1"/>
  <c r="Y256" i="1"/>
  <c r="Y370" i="1"/>
  <c r="Y388" i="1" s="1"/>
  <c r="Y260" i="1"/>
  <c r="Y278" i="1" s="1"/>
  <c r="Y348" i="1"/>
  <c r="Y366" i="1" s="1"/>
  <c r="Y282" i="1"/>
  <c r="Y300" i="1" s="1"/>
  <c r="Y304" i="1"/>
  <c r="Y322" i="1" s="1"/>
  <c r="Y414" i="1"/>
  <c r="Y432" i="1" s="1"/>
  <c r="Y392" i="1"/>
  <c r="Y410" i="1" s="1"/>
  <c r="Y326" i="1"/>
  <c r="Y344" i="1" s="1"/>
  <c r="Y436" i="1"/>
  <c r="Y454" i="1" s="1"/>
  <c r="Y458" i="1"/>
  <c r="Y476" i="1" s="1"/>
  <c r="Y480" i="1"/>
  <c r="Y498" i="1" s="1"/>
  <c r="Y502" i="1"/>
  <c r="Y520" i="1" s="1"/>
  <c r="Z214" i="1"/>
  <c r="AD160" i="1"/>
  <c r="Z209" i="1"/>
  <c r="AD155" i="1"/>
  <c r="Z246" i="1"/>
  <c r="AD216" i="1"/>
  <c r="D366" i="19" s="1"/>
  <c r="D371" i="19" s="1"/>
  <c r="Z220" i="1"/>
  <c r="AD166" i="1"/>
  <c r="Z228" i="1"/>
  <c r="Z240" i="1"/>
  <c r="AD210" i="1"/>
  <c r="B366" i="19" s="1"/>
  <c r="B371" i="19" s="1"/>
  <c r="Z215" i="1"/>
  <c r="AD161" i="1"/>
  <c r="Z218" i="1"/>
  <c r="AD164" i="1"/>
  <c r="Z255" i="1"/>
  <c r="AD225" i="1"/>
  <c r="G366" i="19" s="1"/>
  <c r="G371" i="19" s="1"/>
  <c r="AD218" i="1" l="1"/>
  <c r="Z248" i="1"/>
  <c r="Z258" i="1"/>
  <c r="Z259" i="1" s="1"/>
  <c r="Z284" i="1"/>
  <c r="Z302" i="1" s="1"/>
  <c r="Z303" i="1" s="1"/>
  <c r="Z524" i="1" s="1"/>
  <c r="Z306" i="1"/>
  <c r="Z324" i="1" s="1"/>
  <c r="Z325" i="1" s="1"/>
  <c r="Z525" i="1" s="1"/>
  <c r="Z372" i="1"/>
  <c r="Z390" i="1" s="1"/>
  <c r="Z391" i="1" s="1"/>
  <c r="Z528" i="1" s="1"/>
  <c r="Z262" i="1"/>
  <c r="Z394" i="1"/>
  <c r="Z412" i="1" s="1"/>
  <c r="Z413" i="1" s="1"/>
  <c r="Z529" i="1" s="1"/>
  <c r="Z328" i="1"/>
  <c r="Z346" i="1" s="1"/>
  <c r="Z347" i="1" s="1"/>
  <c r="Z526" i="1" s="1"/>
  <c r="Z416" i="1"/>
  <c r="Z434" i="1" s="1"/>
  <c r="Z435" i="1" s="1"/>
  <c r="Z530" i="1" s="1"/>
  <c r="Z350" i="1"/>
  <c r="Z368" i="1" s="1"/>
  <c r="Z369" i="1" s="1"/>
  <c r="Z527" i="1" s="1"/>
  <c r="Z460" i="1"/>
  <c r="Z478" i="1" s="1"/>
  <c r="Z479" i="1" s="1"/>
  <c r="Z532" i="1" s="1"/>
  <c r="Z438" i="1"/>
  <c r="Z456" i="1" s="1"/>
  <c r="Z457" i="1" s="1"/>
  <c r="Z531" i="1" s="1"/>
  <c r="Z482" i="1"/>
  <c r="Z500" i="1" s="1"/>
  <c r="Z501" i="1" s="1"/>
  <c r="Z533" i="1" s="1"/>
  <c r="Z504" i="1"/>
  <c r="Z522" i="1" s="1"/>
  <c r="Z523" i="1" s="1"/>
  <c r="Z534" i="1" s="1"/>
  <c r="Z253" i="1"/>
  <c r="AD223" i="1"/>
  <c r="Z254" i="1"/>
  <c r="AD224" i="1"/>
  <c r="Z251" i="1"/>
  <c r="AD221" i="1"/>
  <c r="Z384" i="1"/>
  <c r="Z318" i="1"/>
  <c r="Z406" i="1"/>
  <c r="Z428" i="1"/>
  <c r="Z296" i="1"/>
  <c r="Z362" i="1"/>
  <c r="Z340" i="1"/>
  <c r="Z274" i="1"/>
  <c r="AD274" i="1" s="1"/>
  <c r="Z450" i="1"/>
  <c r="Z494" i="1"/>
  <c r="Z472" i="1"/>
  <c r="Z516" i="1"/>
  <c r="Z242" i="1"/>
  <c r="AD212" i="1"/>
  <c r="Z226" i="1"/>
  <c r="AD226" i="1" s="1"/>
  <c r="AD256" i="1" s="1"/>
  <c r="AD208" i="1"/>
  <c r="Z238" i="1"/>
  <c r="Z229" i="1"/>
  <c r="AD228" i="1"/>
  <c r="Z334" i="1"/>
  <c r="Z312" i="1"/>
  <c r="Z268" i="1"/>
  <c r="AD268" i="1" s="1"/>
  <c r="Z400" i="1"/>
  <c r="Z378" i="1"/>
  <c r="Z356" i="1"/>
  <c r="Z290" i="1"/>
  <c r="Z466" i="1"/>
  <c r="Z444" i="1"/>
  <c r="Z422" i="1"/>
  <c r="Z488" i="1"/>
  <c r="Z510" i="1"/>
  <c r="Z403" i="1"/>
  <c r="Z381" i="1"/>
  <c r="Z315" i="1"/>
  <c r="Z271" i="1"/>
  <c r="AD271" i="1" s="1"/>
  <c r="Z425" i="1"/>
  <c r="Z293" i="1"/>
  <c r="Z337" i="1"/>
  <c r="Z359" i="1"/>
  <c r="Z469" i="1"/>
  <c r="Z447" i="1"/>
  <c r="Z513" i="1"/>
  <c r="Z491" i="1"/>
  <c r="Z375" i="1"/>
  <c r="Z331" i="1"/>
  <c r="Z309" i="1"/>
  <c r="Z397" i="1"/>
  <c r="Z287" i="1"/>
  <c r="Z419" i="1"/>
  <c r="Z353" i="1"/>
  <c r="Z265" i="1"/>
  <c r="AD265" i="1" s="1"/>
  <c r="Z441" i="1"/>
  <c r="Z463" i="1"/>
  <c r="Z507" i="1"/>
  <c r="Z485" i="1"/>
  <c r="Z244" i="1"/>
  <c r="AD214" i="1"/>
  <c r="Z277" i="1"/>
  <c r="AD277" i="1" s="1"/>
  <c r="Z365" i="1"/>
  <c r="Z343" i="1"/>
  <c r="Z387" i="1"/>
  <c r="Z409" i="1"/>
  <c r="Z321" i="1"/>
  <c r="Z299" i="1"/>
  <c r="Z453" i="1"/>
  <c r="Z431" i="1"/>
  <c r="Z475" i="1"/>
  <c r="Z519" i="1"/>
  <c r="Z497" i="1"/>
  <c r="Z245" i="1"/>
  <c r="AD215" i="1"/>
  <c r="Z250" i="1"/>
  <c r="AD220" i="1"/>
  <c r="Z227" i="1"/>
  <c r="AD227" i="1" s="1"/>
  <c r="AD257" i="1" s="1"/>
  <c r="Z239" i="1"/>
  <c r="AD209" i="1"/>
  <c r="Z241" i="1"/>
  <c r="AD211" i="1"/>
  <c r="Z247" i="1"/>
  <c r="AD217" i="1"/>
  <c r="Z313" i="1" l="1"/>
  <c r="Z291" i="1"/>
  <c r="Z379" i="1"/>
  <c r="Z269" i="1"/>
  <c r="AD269" i="1" s="1"/>
  <c r="Z357" i="1"/>
  <c r="Z401" i="1"/>
  <c r="Z335" i="1"/>
  <c r="Z423" i="1"/>
  <c r="Z467" i="1"/>
  <c r="Z445" i="1"/>
  <c r="Z489" i="1"/>
  <c r="Z511" i="1"/>
  <c r="Z257" i="1"/>
  <c r="Z327" i="1"/>
  <c r="Z345" i="1" s="1"/>
  <c r="Z261" i="1"/>
  <c r="Z349" i="1"/>
  <c r="Z367" i="1" s="1"/>
  <c r="Z283" i="1"/>
  <c r="Z301" i="1" s="1"/>
  <c r="Z305" i="1"/>
  <c r="Z323" i="1" s="1"/>
  <c r="Z371" i="1"/>
  <c r="Z389" i="1" s="1"/>
  <c r="Z393" i="1"/>
  <c r="Z411" i="1" s="1"/>
  <c r="Z415" i="1"/>
  <c r="Z433" i="1" s="1"/>
  <c r="Z437" i="1"/>
  <c r="Z455" i="1" s="1"/>
  <c r="Z459" i="1"/>
  <c r="Z477" i="1" s="1"/>
  <c r="Z503" i="1"/>
  <c r="Z521" i="1" s="1"/>
  <c r="Z481" i="1"/>
  <c r="Z499" i="1" s="1"/>
  <c r="Z383" i="1"/>
  <c r="Z339" i="1"/>
  <c r="Z273" i="1"/>
  <c r="AD273" i="1" s="1"/>
  <c r="Z317" i="1"/>
  <c r="Z361" i="1"/>
  <c r="Z427" i="1"/>
  <c r="Z295" i="1"/>
  <c r="Z405" i="1"/>
  <c r="Z471" i="1"/>
  <c r="Z493" i="1"/>
  <c r="Z449" i="1"/>
  <c r="Z515" i="1"/>
  <c r="Z297" i="1"/>
  <c r="Z385" i="1"/>
  <c r="Z341" i="1"/>
  <c r="Z275" i="1"/>
  <c r="AD275" i="1" s="1"/>
  <c r="Z319" i="1"/>
  <c r="Z363" i="1"/>
  <c r="Z407" i="1"/>
  <c r="Z429" i="1"/>
  <c r="Z517" i="1"/>
  <c r="Z473" i="1"/>
  <c r="Z451" i="1"/>
  <c r="Z495" i="1"/>
  <c r="Z377" i="1"/>
  <c r="Z311" i="1"/>
  <c r="Z333" i="1"/>
  <c r="Z355" i="1"/>
  <c r="Z421" i="1"/>
  <c r="Z465" i="1"/>
  <c r="Z399" i="1"/>
  <c r="Z267" i="1"/>
  <c r="AD267" i="1" s="1"/>
  <c r="Z289" i="1"/>
  <c r="Z509" i="1"/>
  <c r="Z443" i="1"/>
  <c r="Z487" i="1"/>
  <c r="Z280" i="1"/>
  <c r="Z281" i="1" s="1"/>
  <c r="AD262" i="1"/>
  <c r="S304" i="19"/>
  <c r="P304" i="19"/>
  <c r="AD229" i="1"/>
  <c r="AD258" i="1"/>
  <c r="AD259" i="1" s="1"/>
  <c r="Z307" i="1"/>
  <c r="Z351" i="1"/>
  <c r="Z373" i="1"/>
  <c r="Z263" i="1"/>
  <c r="AD263" i="1" s="1"/>
  <c r="Z285" i="1"/>
  <c r="Z329" i="1"/>
  <c r="Z395" i="1"/>
  <c r="Z461" i="1"/>
  <c r="Z505" i="1"/>
  <c r="Z439" i="1"/>
  <c r="Z483" i="1"/>
  <c r="Z417" i="1"/>
  <c r="Z256" i="1"/>
  <c r="Z348" i="1"/>
  <c r="Z366" i="1" s="1"/>
  <c r="Z304" i="1"/>
  <c r="Z322" i="1" s="1"/>
  <c r="Z260" i="1"/>
  <c r="Z326" i="1"/>
  <c r="Z344" i="1" s="1"/>
  <c r="Z392" i="1"/>
  <c r="Z410" i="1" s="1"/>
  <c r="Z370" i="1"/>
  <c r="Z388" i="1" s="1"/>
  <c r="Z282" i="1"/>
  <c r="Z300" i="1" s="1"/>
  <c r="Z414" i="1"/>
  <c r="Z432" i="1" s="1"/>
  <c r="Z436" i="1"/>
  <c r="Z454" i="1" s="1"/>
  <c r="Z458" i="1"/>
  <c r="Z476" i="1" s="1"/>
  <c r="Z480" i="1"/>
  <c r="Z498" i="1" s="1"/>
  <c r="Z502" i="1"/>
  <c r="Z520" i="1" s="1"/>
  <c r="Z308" i="1"/>
  <c r="Z264" i="1"/>
  <c r="AD264" i="1" s="1"/>
  <c r="Z396" i="1"/>
  <c r="Z330" i="1"/>
  <c r="Z418" i="1"/>
  <c r="Z374" i="1"/>
  <c r="Z352" i="1"/>
  <c r="Z286" i="1"/>
  <c r="Z462" i="1"/>
  <c r="Z440" i="1"/>
  <c r="Z506" i="1"/>
  <c r="Z484" i="1"/>
  <c r="Z298" i="1"/>
  <c r="Z276" i="1"/>
  <c r="AD276" i="1" s="1"/>
  <c r="Z320" i="1"/>
  <c r="Z342" i="1"/>
  <c r="Z364" i="1"/>
  <c r="Z386" i="1"/>
  <c r="Z430" i="1"/>
  <c r="Z408" i="1"/>
  <c r="Z452" i="1"/>
  <c r="Z474" i="1"/>
  <c r="Z518" i="1"/>
  <c r="Z496" i="1"/>
  <c r="Z380" i="1"/>
  <c r="Z336" i="1"/>
  <c r="Z270" i="1"/>
  <c r="AD270" i="1" s="1"/>
  <c r="Z402" i="1"/>
  <c r="Z358" i="1"/>
  <c r="Z314" i="1"/>
  <c r="Z446" i="1"/>
  <c r="Z292" i="1"/>
  <c r="Z424" i="1"/>
  <c r="Z468" i="1"/>
  <c r="Z512" i="1"/>
  <c r="Z490" i="1"/>
  <c r="Z382" i="1"/>
  <c r="Z360" i="1"/>
  <c r="Z316" i="1"/>
  <c r="Z404" i="1"/>
  <c r="Z470" i="1"/>
  <c r="Z338" i="1"/>
  <c r="Z294" i="1"/>
  <c r="Z426" i="1"/>
  <c r="Z272" i="1"/>
  <c r="AD272" i="1" s="1"/>
  <c r="Z448" i="1"/>
  <c r="Z492" i="1"/>
  <c r="Z514" i="1"/>
  <c r="Z354" i="1"/>
  <c r="Z266" i="1"/>
  <c r="AD266" i="1" s="1"/>
  <c r="Z310" i="1"/>
  <c r="Z332" i="1"/>
  <c r="Z376" i="1"/>
  <c r="Z288" i="1"/>
  <c r="Z398" i="1"/>
  <c r="Z420" i="1"/>
  <c r="Z442" i="1"/>
  <c r="Z464" i="1"/>
  <c r="Z508" i="1"/>
  <c r="Z486" i="1"/>
  <c r="Z278" i="1" l="1"/>
  <c r="AD260" i="1"/>
  <c r="Z279" i="1"/>
  <c r="AD261" i="1"/>
  <c r="S306" i="19"/>
  <c r="U304" i="19"/>
  <c r="T304" i="19"/>
  <c r="E303" i="19"/>
  <c r="Q304" i="19"/>
  <c r="C303" i="19"/>
  <c r="P306" i="19"/>
  <c r="Q306" i="19" s="1"/>
  <c r="P309" i="19" l="1"/>
  <c r="T306" i="19"/>
  <c r="T309" i="19" s="1"/>
  <c r="V309" i="19" s="1"/>
  <c r="C304" i="19" s="1"/>
  <c r="U306" i="19"/>
  <c r="U309" i="19"/>
  <c r="P310" i="19" l="1"/>
  <c r="B304" i="19" s="1"/>
  <c r="D303" i="19"/>
  <c r="B303" i="19"/>
</calcChain>
</file>

<file path=xl/sharedStrings.xml><?xml version="1.0" encoding="utf-8"?>
<sst xmlns="http://schemas.openxmlformats.org/spreadsheetml/2006/main" count="855" uniqueCount="249">
  <si>
    <t>Inside ECA</t>
  </si>
  <si>
    <t>Outside ECA</t>
  </si>
  <si>
    <t>Fuel</t>
  </si>
  <si>
    <t>Max Sulphur Limit %</t>
  </si>
  <si>
    <t>Type/class of ship</t>
  </si>
  <si>
    <t>Differential increase after 2015 [%]</t>
  </si>
  <si>
    <t>Low</t>
  </si>
  <si>
    <t>Medium</t>
  </si>
  <si>
    <t>High</t>
  </si>
  <si>
    <t>Annual price increase [%]</t>
  </si>
  <si>
    <t>Time Spent in ECA</t>
  </si>
  <si>
    <t>Inside</t>
  </si>
  <si>
    <t>Outside</t>
  </si>
  <si>
    <t>Type of fuel</t>
  </si>
  <si>
    <t>Now to 2015</t>
  </si>
  <si>
    <t>2015 to 2020</t>
  </si>
  <si>
    <t>Calculations</t>
  </si>
  <si>
    <t>"Low" Scenario</t>
  </si>
  <si>
    <t>"Medium" Scenario</t>
  </si>
  <si>
    <t>"High" Scenario</t>
  </si>
  <si>
    <t>Future fuel oil price scenarios</t>
  </si>
  <si>
    <t>Now-2015</t>
  </si>
  <si>
    <t>2015-2020</t>
  </si>
  <si>
    <t>Averages</t>
  </si>
  <si>
    <t>2020-2035</t>
  </si>
  <si>
    <t>2020 to 2035</t>
  </si>
  <si>
    <t>Suphur Content</t>
  </si>
  <si>
    <t>Type of machinery</t>
  </si>
  <si>
    <t>Machinery type 1</t>
  </si>
  <si>
    <t>Machinery type 2</t>
  </si>
  <si>
    <t>Machinery type 3</t>
  </si>
  <si>
    <t>Total MCR [kW]</t>
  </si>
  <si>
    <t>Ship to plot results for:</t>
  </si>
  <si>
    <t>Annual costs plot</t>
  </si>
  <si>
    <t>Baseline Cost (3.5% globally) - (1)</t>
  </si>
  <si>
    <t>Cost proportion outside ECA (2)</t>
  </si>
  <si>
    <t>Cost proportion inside ECA (3)</t>
  </si>
  <si>
    <t>Discount rate for DCF analysis (%)</t>
  </si>
  <si>
    <t>Cost of compliance using low S fuel = (2) + (3) = (4)</t>
  </si>
  <si>
    <t>(6.1) = Cost of fuel burned outside scrubbers, outside ECA= (2)*(1-x)</t>
  </si>
  <si>
    <t>Annual costs plot - scrubbers</t>
  </si>
  <si>
    <t>(6.2) = Cost of fuel burned outside scrubbers, inside ECA= (3)*(1-x)</t>
  </si>
  <si>
    <t>Savings / Costs from using scrubbers</t>
  </si>
  <si>
    <t>Low scenario</t>
  </si>
  <si>
    <t>Medium scenario</t>
  </si>
  <si>
    <t>High scenario</t>
  </si>
  <si>
    <t>4. Exhaust Gas Cleaning System (EGCS) data</t>
  </si>
  <si>
    <t>% of mach. type 1 using the EGCS</t>
  </si>
  <si>
    <t>% of mach. type 2 using the EGCS</t>
  </si>
  <si>
    <t>% of mach. type 3 using the EGCS</t>
  </si>
  <si>
    <t>Plot - low S fuel</t>
  </si>
  <si>
    <t>Plot - scrubbers</t>
  </si>
  <si>
    <t>Average annual figures</t>
  </si>
  <si>
    <t>Price scenario to plot results for:</t>
  </si>
  <si>
    <t>Plot - inside</t>
  </si>
  <si>
    <t>Plot - outside</t>
  </si>
  <si>
    <t>In this section we display the results of the discounted cashflow analysis for the EGCS investment, based on input entered in section 4</t>
  </si>
  <si>
    <t>Plot</t>
  </si>
  <si>
    <t>Undiscounted cashflow by year</t>
  </si>
  <si>
    <t>UCF by year plot</t>
  </si>
  <si>
    <t>Graph titles</t>
  </si>
  <si>
    <t>Year</t>
  </si>
  <si>
    <t>Year i =</t>
  </si>
  <si>
    <t>Payback period [years]</t>
  </si>
  <si>
    <t>Linear interpolation</t>
  </si>
  <si>
    <t>y2</t>
  </si>
  <si>
    <t>y1</t>
  </si>
  <si>
    <t>x2</t>
  </si>
  <si>
    <t>x1</t>
  </si>
  <si>
    <t>y</t>
  </si>
  <si>
    <t>Payback calculation</t>
  </si>
  <si>
    <t>Graph interrogation</t>
  </si>
  <si>
    <t>Auxiliary boilers</t>
  </si>
  <si>
    <t>% of boilers using the EGCS</t>
  </si>
  <si>
    <t>Boiler equivalent power [kW]</t>
  </si>
  <si>
    <t>Scrubbers - cost proportion - inside ECA</t>
  </si>
  <si>
    <t>Scrubbers - cost proportion - outside ECA</t>
  </si>
  <si>
    <t>Low S - Cost proportion - inside ECA</t>
  </si>
  <si>
    <t>Low S - Cost proportion - outside ECA</t>
  </si>
  <si>
    <t>Annual fuel costs</t>
  </si>
  <si>
    <t>Average fuel costs</t>
  </si>
  <si>
    <t xml:space="preserve">Savings (+ve) or losses (-ve) using EGCS [USD] (5) = (1) - (4) </t>
  </si>
  <si>
    <t>Consumable rate [kg/MWh]</t>
  </si>
  <si>
    <t>Installation cost [million USD]</t>
  </si>
  <si>
    <t>Compliance with EGCS [USD]</t>
  </si>
  <si>
    <t>Savings (+ve) or losses (-ve) [USD]</t>
  </si>
  <si>
    <t>This section can be used for generating custom graphs using data from the previous sections</t>
  </si>
  <si>
    <t>Graph title</t>
  </si>
  <si>
    <t>x-axis title</t>
  </si>
  <si>
    <t>y-axis title</t>
  </si>
  <si>
    <t>x-axis</t>
  </si>
  <si>
    <t>y-axis</t>
  </si>
  <si>
    <t>Savings / Costs from using scrubbers plot</t>
  </si>
  <si>
    <t>Linear interpolation 2</t>
  </si>
  <si>
    <t>y (year when costs become equal)</t>
  </si>
  <si>
    <t>Year of installation</t>
  </si>
  <si>
    <t>Cost of compliance with EGCS compared to fuel switchover</t>
  </si>
  <si>
    <t>Compliance with fuel switchover [USD]</t>
  </si>
  <si>
    <t>Year when NPV=0</t>
  </si>
  <si>
    <t>Scenario</t>
  </si>
  <si>
    <t>z2-scrubbers</t>
  </si>
  <si>
    <t>z2-fuel</t>
  </si>
  <si>
    <t>z1-scrubbers</t>
  </si>
  <si>
    <t>z1-fuel</t>
  </si>
  <si>
    <t>z (costs at year y-scr)</t>
  </si>
  <si>
    <t>z (costs at year y-fuel)</t>
  </si>
  <si>
    <t>Z (average)</t>
  </si>
  <si>
    <t>Cost of compliance using scrubbers = (5) + (6.1) + (6.2)  *unless scrubber is not installed at this year, in which case this is blank (returns NA())</t>
  </si>
  <si>
    <t>NPV by year, installation year = 2013</t>
  </si>
  <si>
    <t>NPV by year, installation year = 2014</t>
  </si>
  <si>
    <t>Plot-2013</t>
  </si>
  <si>
    <t>Plot-2014</t>
  </si>
  <si>
    <t>NPV by year plot-2013</t>
  </si>
  <si>
    <t>NPV by year, installation year = 2015</t>
  </si>
  <si>
    <t>NPV by year plot-2015</t>
  </si>
  <si>
    <t>Plot-2015</t>
  </si>
  <si>
    <t>Year zero for NPV (installation year of EGCS for plotted ship)</t>
  </si>
  <si>
    <t>NPV by year plot-2016</t>
  </si>
  <si>
    <t>NPV by year, installation year = 2016</t>
  </si>
  <si>
    <t>Plot-2016</t>
  </si>
  <si>
    <t>UCF Plot</t>
  </si>
  <si>
    <t>Costs are equal (from 2013) after:</t>
  </si>
  <si>
    <t>NPV by year plot-2017</t>
  </si>
  <si>
    <t>NPV by year, installation year = 2017</t>
  </si>
  <si>
    <t>Plot-2017</t>
  </si>
  <si>
    <t>NPV by year, installation year = 2018</t>
  </si>
  <si>
    <t>NPV by year plot-2018</t>
  </si>
  <si>
    <t>Plot-2018</t>
  </si>
  <si>
    <t>NPV by year, installation year = 2019</t>
  </si>
  <si>
    <t>NPV by year plot-2019</t>
  </si>
  <si>
    <t>Plot-2019</t>
  </si>
  <si>
    <t>NPV by year, installation year = 2020</t>
  </si>
  <si>
    <t>NPV by year plot-2020</t>
  </si>
  <si>
    <t>Plot-2020</t>
  </si>
  <si>
    <t>NPV by year, installation year = 2021</t>
  </si>
  <si>
    <t>NPV by year plot-2021</t>
  </si>
  <si>
    <t>Plot-2021</t>
  </si>
  <si>
    <t>NPV by year, installation year = 2022</t>
  </si>
  <si>
    <t>NPV by year plot-2022</t>
  </si>
  <si>
    <t>Plot-2022</t>
  </si>
  <si>
    <t>NPV by year, installation year = 2023</t>
  </si>
  <si>
    <t>NPV by year plot-2023</t>
  </si>
  <si>
    <t>Plot-2023</t>
  </si>
  <si>
    <r>
      <t xml:space="preserve">(5) Cost of fuel </t>
    </r>
    <r>
      <rPr>
        <b/>
        <u/>
        <sz val="10"/>
        <rFont val="Arial"/>
        <family val="2"/>
      </rPr>
      <t>only</t>
    </r>
    <r>
      <rPr>
        <b/>
        <sz val="10"/>
        <rFont val="Arial"/>
        <family val="2"/>
      </rPr>
      <t xml:space="preserve"> burned at scrubbers = (1)*(proportion scrubbed per fuel type=x) + scrubber OPEX</t>
    </r>
  </si>
  <si>
    <t>Differential increase after 2020/2025* [%]</t>
  </si>
  <si>
    <t>In this section we display the summary fuel costs depending on the compliance strategy adopted</t>
  </si>
  <si>
    <t>Fuel costs using fuel switchover for compliance [USD] (1)</t>
  </si>
  <si>
    <t>Fuel costs using EGCS for compliance [USD] (4)</t>
  </si>
  <si>
    <t>Go to:</t>
  </si>
  <si>
    <t>In this section we select the ship and price scenario to display results for in the following sections</t>
  </si>
  <si>
    <t>6. Summary fuel costs</t>
  </si>
  <si>
    <t>7. Investment evaluation</t>
  </si>
  <si>
    <t>8. Custom graph generator</t>
  </si>
  <si>
    <t>5. Results to display</t>
  </si>
  <si>
    <t>Introduction</t>
  </si>
  <si>
    <t>EGCS installation and operational costs, desired payback period, machinery and usage of scrubber</t>
  </si>
  <si>
    <t>Type 1</t>
  </si>
  <si>
    <t>Type 2</t>
  </si>
  <si>
    <t>Type 3</t>
  </si>
  <si>
    <t>Type 4</t>
  </si>
  <si>
    <t>3.5 % S</t>
  </si>
  <si>
    <t>1.0 % S</t>
  </si>
  <si>
    <t>0.5 % S</t>
  </si>
  <si>
    <t>0.1 % S</t>
  </si>
  <si>
    <t>&gt;1.0 % S</t>
  </si>
  <si>
    <t>How to use ECA Calculator</t>
  </si>
  <si>
    <t>Table of contents</t>
  </si>
  <si>
    <t>Contact us with your suggestions</t>
  </si>
  <si>
    <t>Outline methodology</t>
  </si>
  <si>
    <t xml:space="preserve">* Depending on 0.50% S limit implementation </t>
  </si>
  <si>
    <t>&lt;=3.50 % S</t>
  </si>
  <si>
    <t>&lt;=1.00 % S</t>
  </si>
  <si>
    <t>&lt;=0.50 % S</t>
  </si>
  <si>
    <t>&lt;=0.10 % S</t>
  </si>
  <si>
    <t>Fuel price plot</t>
  </si>
  <si>
    <t>Fuel type to plot</t>
  </si>
  <si>
    <t>Price scenario to plot</t>
  </si>
  <si>
    <t>0.50% S limit entry into force</t>
  </si>
  <si>
    <t>Baseline cost (assuming use of 3.5% S fuel globally) [USD] (2)</t>
  </si>
  <si>
    <t xml:space="preserve">Added cost using fuel switchover [USD] (3) = (1) - (2) </t>
  </si>
  <si>
    <t>1. Operational profile</t>
  </si>
  <si>
    <t>Engine and fuel types, fuel consumptions, total annual fuel consumption per ship/class of ship</t>
  </si>
  <si>
    <t>Off service - % total time</t>
  </si>
  <si>
    <t>% time in ECA (total)</t>
  </si>
  <si>
    <t>% time outside ECA (total)</t>
  </si>
  <si>
    <t>Mode 1 name</t>
  </si>
  <si>
    <t>Mode 2 name</t>
  </si>
  <si>
    <t>Mode 3 name</t>
  </si>
  <si>
    <t>Mode 4 name</t>
  </si>
  <si>
    <t>Mode 5 name</t>
  </si>
  <si>
    <t>Operational modes and time spent inside/outside ECA for each mode</t>
  </si>
  <si>
    <r>
      <t xml:space="preserve">Fuel types </t>
    </r>
    <r>
      <rPr>
        <u/>
        <sz val="10"/>
        <color indexed="56"/>
        <rFont val="Arial"/>
        <family val="2"/>
      </rPr>
      <t>today</t>
    </r>
    <r>
      <rPr>
        <sz val="10"/>
        <color indexed="56"/>
        <rFont val="Arial"/>
        <family val="2"/>
      </rPr>
      <t xml:space="preserve"> (applicable to all cases)</t>
    </r>
  </si>
  <si>
    <t>2. Machinery particulars and annual fuel consumptions</t>
  </si>
  <si>
    <t>Total annual fuel consumption</t>
  </si>
  <si>
    <t>Today's fuel prices [USD/t]</t>
  </si>
  <si>
    <t>3. Fuels, costs and scenarios</t>
  </si>
  <si>
    <t>Fuel types used for compliance, current fuel oil prices, price differentials, future price scenarios (low, medium high)</t>
  </si>
  <si>
    <t>Number of units</t>
  </si>
  <si>
    <t>MCR (each unit)</t>
  </si>
  <si>
    <t>Number of installed units</t>
  </si>
  <si>
    <t>Machinery EGCS powered from [-]</t>
  </si>
  <si>
    <t>Calorific value correction factors used in Hidden_calcs1 (multiplied with annual fuel consumption)</t>
  </si>
  <si>
    <t>%S</t>
  </si>
  <si>
    <t>** Actual cost depends on time in operation</t>
  </si>
  <si>
    <t>*** Not dependent on time in operation</t>
  </si>
  <si>
    <t>Maximum** consumable cost (1)</t>
  </si>
  <si>
    <t>Max.** other operational costs (2)</t>
  </si>
  <si>
    <t>Consumable unit price [USD/t]</t>
  </si>
  <si>
    <t>Installation cost [USD/kW]</t>
  </si>
  <si>
    <t>Maximum SFOC [g/kWh]</t>
  </si>
  <si>
    <t>Total var. operational cost=(1)+(2)</t>
  </si>
  <si>
    <t>Additional fuel consumption [t/year]</t>
  </si>
  <si>
    <t>Fuel type used to power the EGCS [-]</t>
  </si>
  <si>
    <t>SFOC to power EGCS [g/kWh]</t>
  </si>
  <si>
    <t>EGCS power consumption [kW]</t>
  </si>
  <si>
    <t>Name/type/class of ship (or scenario)</t>
  </si>
  <si>
    <t>Operational modes (applicable to all cases below)</t>
  </si>
  <si>
    <t>Changes</t>
  </si>
  <si>
    <t>1.0 (March 2012)</t>
  </si>
  <si>
    <t>2.0 (May 2012)</t>
  </si>
  <si>
    <t>i) Time in ECA entered for each operational mode</t>
  </si>
  <si>
    <t>ii) Machinery type can be typed (replaced drop-down menu)</t>
  </si>
  <si>
    <t xml:space="preserve">iii) SFOC entered seperately for each operational mode </t>
  </si>
  <si>
    <t>vi) EGCS operational costs break down into fixed costs (independent of time in operation) and variable costs (proportional to time in operation)</t>
  </si>
  <si>
    <t>Change log</t>
  </si>
  <si>
    <t>i) First release</t>
  </si>
  <si>
    <t>ii) Number of installed units and units in use entered for each machinery type and mode respectively</t>
  </si>
  <si>
    <t>iv) Fuels used for switchover compliance are labelled to facilitate when entering price differentials</t>
  </si>
  <si>
    <t>v) Fuel calorific value correction factors are introduced to take into account differences between fuel used today and fuel used for future compliance and the impact this may have to fuel consumption (which is calculated based on fuels used today)</t>
  </si>
  <si>
    <r>
      <t xml:space="preserve">Fill the information in the white areas by typing or by selecting from the drop-down menus. The structure of ECA Calculator follows a logical order and most inputs are explained, where appropriate, when selecting the input cell. You can navigate through different cells by using the mouse, arrow keys or the TAB key. For more detailed information, refer to the user documentation available on </t>
    </r>
    <r>
      <rPr>
        <b/>
        <sz val="10"/>
        <color indexed="10"/>
        <rFont val="Arial"/>
        <family val="2"/>
      </rPr>
      <t>www.lr.org/eca</t>
    </r>
  </si>
  <si>
    <t>Version number  and date</t>
  </si>
  <si>
    <t>Boiler fuel consumption [t/hour]</t>
  </si>
  <si>
    <t>Fuel compliant with 1.00% S limit</t>
  </si>
  <si>
    <t>Fuel compliant with 0.50% S limit</t>
  </si>
  <si>
    <t>Fuel compliant with 0.10% S limit</t>
  </si>
  <si>
    <t>Type of fuel to comply with 1.00% S limit</t>
  </si>
  <si>
    <t>Type of fuel to comply with 0.50% S limit</t>
  </si>
  <si>
    <t>Type of fuel to comply with 0.10% S limit</t>
  </si>
  <si>
    <t>Price differentials between fuel on top column and left rows [USD/t]</t>
  </si>
  <si>
    <t>Fuel calorific value corrections factors (positive means higher calorific value)</t>
  </si>
  <si>
    <t>MDO(DMB)</t>
  </si>
  <si>
    <t>viii) EGCS power consumption entered separately and impact in cost from resulting additional fuel consumption is incorporated into the fuel cost model</t>
  </si>
  <si>
    <t>Total fixed costs=(3)+(4)</t>
  </si>
  <si>
    <t>Annual operational costs, variable/fixed and loss of revenue [USD/year]</t>
  </si>
  <si>
    <t>Fixed*** operational costs (3)</t>
  </si>
  <si>
    <t>Other loss of revenue (4)</t>
  </si>
  <si>
    <t>vii) Potential loss of revenue from reduction in carrying capacity can be entered separately</t>
  </si>
  <si>
    <r>
      <t xml:space="preserve">Lloyd's Register ECA Calculator compares compliance options for MARPOL Annex VI, Regulation 14 (SOx). Two options are examined: compliance using fuel of required %S (fuel switchover) or compliance using an Exhaust Gas Cleaning System (EGCS). Both options are evaluated in terms of fuel costs, assuming a base scenario today and projecting fuel costs to the future. For more information on ECA Calculator methodology and assumptions used please refer to the user documentation on </t>
    </r>
    <r>
      <rPr>
        <b/>
        <sz val="10"/>
        <color indexed="10"/>
        <rFont val="Arial"/>
        <family val="2"/>
      </rPr>
      <t>www.lr.org/eca</t>
    </r>
    <r>
      <rPr>
        <sz val="10"/>
        <color indexed="56"/>
        <rFont val="Arial"/>
        <family val="2"/>
      </rPr>
      <t xml:space="preserve">. A copy of our Technology Guide will also be available on the same page. </t>
    </r>
  </si>
  <si>
    <r>
      <t xml:space="preserve">Lloyd's Register would be pleased to provide further guidance on the ECA Calculator and we would welcome your suggestions. Please go to </t>
    </r>
    <r>
      <rPr>
        <b/>
        <sz val="10"/>
        <color indexed="10"/>
        <rFont val="Arial"/>
        <family val="2"/>
      </rPr>
      <t>www.lr.org/eca</t>
    </r>
    <r>
      <rPr>
        <b/>
        <sz val="10"/>
        <color indexed="53"/>
        <rFont val="Arial"/>
        <family val="2"/>
      </rPr>
      <t xml:space="preserve"> </t>
    </r>
    <r>
      <rPr>
        <sz val="10"/>
        <color indexed="56"/>
        <rFont val="Arial"/>
        <family val="2"/>
      </rPr>
      <t xml:space="preserve">for more information and contact details.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</si>
</sst>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3" formatCode="_-* #,##0.00_-;\-* #,##0.00_-;_-* &quot;-&quot;??_-;_-@_-"/>
    <numFmt numFmtId="164" formatCode="0.0%"/>
    <numFmt numFmtId="165" formatCode="0.0"/>
    <numFmt numFmtId="166" formatCode="#,##0.0"/>
    <numFmt numFmtId="167" formatCode="0.000"/>
    <numFmt numFmtId="168" formatCode="0_ ;\-0\ "/>
    <numFmt numFmtId="169" formatCode="_-* #,##0_-;\-* #,##0_-;_-* &quot;-&quot;??_-;_-@_-"/>
  </numFmts>
  <fonts count="31"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sz val="10"/>
      <name val="Arial"/>
      <family val="2"/>
    </font>
    <font>
      <sz val="10"/>
      <color indexed="56"/>
      <name val="Arial"/>
      <family val="2"/>
    </font>
    <font>
      <sz val="16"/>
      <color indexed="56"/>
      <name val="Arial"/>
      <family val="2"/>
    </font>
    <font>
      <i/>
      <sz val="10"/>
      <color indexed="56"/>
      <name val="Arial"/>
      <family val="2"/>
    </font>
    <font>
      <sz val="14"/>
      <color indexed="56"/>
      <name val="Arial"/>
      <family val="2"/>
    </font>
    <font>
      <b/>
      <sz val="12"/>
      <color indexed="56"/>
      <name val="Arial"/>
      <family val="2"/>
    </font>
    <font>
      <b/>
      <sz val="10"/>
      <color indexed="56"/>
      <name val="Arial"/>
      <family val="2"/>
    </font>
    <font>
      <sz val="36"/>
      <name val="Arial"/>
      <family val="2"/>
    </font>
    <font>
      <sz val="22"/>
      <name val="Arial"/>
      <family val="2"/>
    </font>
    <font>
      <sz val="20"/>
      <name val="Arial"/>
      <family val="2"/>
    </font>
    <font>
      <b/>
      <u/>
      <sz val="10"/>
      <name val="Arial"/>
      <family val="2"/>
    </font>
    <font>
      <b/>
      <sz val="10"/>
      <color indexed="53"/>
      <name val="Arial"/>
      <family val="2"/>
    </font>
    <font>
      <u/>
      <sz val="10"/>
      <color indexed="56"/>
      <name val="Arial"/>
      <family val="2"/>
    </font>
    <font>
      <b/>
      <sz val="10"/>
      <color indexed="10"/>
      <name val="Arial"/>
      <family val="2"/>
    </font>
    <font>
      <sz val="10"/>
      <color indexed="56"/>
      <name val="Arial"/>
      <family val="2"/>
    </font>
    <font>
      <b/>
      <sz val="10"/>
      <color indexed="53"/>
      <name val="Arial"/>
      <family val="2"/>
    </font>
    <font>
      <sz val="10"/>
      <color indexed="22"/>
      <name val="Arial"/>
      <family val="2"/>
    </font>
    <font>
      <b/>
      <sz val="10"/>
      <color indexed="10"/>
      <name val="Arial"/>
      <family val="2"/>
    </font>
    <font>
      <b/>
      <sz val="10"/>
      <color indexed="56"/>
      <name val="Arial"/>
      <family val="2"/>
    </font>
    <font>
      <sz val="8"/>
      <name val="Arial"/>
    </font>
    <font>
      <sz val="10"/>
      <color indexed="22"/>
      <name val="Arial"/>
      <family val="2"/>
    </font>
    <font>
      <sz val="10"/>
      <color theme="3"/>
      <name val="Arial"/>
      <family val="2"/>
    </font>
    <font>
      <b/>
      <sz val="10"/>
      <color theme="4"/>
      <name val="Arial"/>
      <family val="2"/>
    </font>
    <font>
      <sz val="10"/>
      <color theme="2"/>
      <name val="Arial"/>
      <family val="2"/>
    </font>
    <font>
      <b/>
      <sz val="16"/>
      <color rgb="FF002F5F"/>
      <name val="Arial"/>
      <family val="2"/>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50"/>
        <bgColor indexed="64"/>
      </patternFill>
    </fill>
    <fill>
      <patternFill patternType="solid">
        <fgColor indexed="4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52"/>
        <bgColor indexed="64"/>
      </patternFill>
    </fill>
    <fill>
      <patternFill patternType="solid">
        <fgColor indexed="40"/>
        <bgColor indexed="64"/>
      </patternFill>
    </fill>
    <fill>
      <patternFill patternType="solid">
        <fgColor indexed="51"/>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style="thin">
        <color indexed="64"/>
      </left>
      <right style="thin">
        <color indexed="64"/>
      </right>
      <top/>
      <bottom/>
      <diagonal/>
    </border>
  </borders>
  <cellStyleXfs count="9">
    <xf numFmtId="0" fontId="0" fillId="0" borderId="0"/>
    <xf numFmtId="43" fontId="6" fillId="0" borderId="0" applyFont="0" applyFill="0" applyBorder="0" applyAlignment="0" applyProtection="0"/>
    <xf numFmtId="0" fontId="27" fillId="0" borderId="0" applyNumberFormat="0">
      <alignment horizontal="center" wrapText="1"/>
      <protection locked="0"/>
    </xf>
    <xf numFmtId="0" fontId="28" fillId="17" borderId="0"/>
    <xf numFmtId="9" fontId="4" fillId="0" borderId="0" applyFont="0" applyFill="0" applyBorder="0" applyAlignment="0" applyProtection="0"/>
    <xf numFmtId="3" fontId="1" fillId="17" borderId="0">
      <alignment horizontal="center"/>
      <protection hidden="1"/>
    </xf>
    <xf numFmtId="3" fontId="29" fillId="17" borderId="0">
      <alignment horizontal="center"/>
    </xf>
    <xf numFmtId="0" fontId="30" fillId="17" borderId="0"/>
    <xf numFmtId="0" fontId="27" fillId="17" borderId="0"/>
  </cellStyleXfs>
  <cellXfs count="266">
    <xf numFmtId="0" fontId="0" fillId="0" borderId="0" xfId="0"/>
    <xf numFmtId="0" fontId="1" fillId="0" borderId="0" xfId="0" applyFont="1" applyProtection="1"/>
    <xf numFmtId="0" fontId="1" fillId="0" borderId="0" xfId="0" applyFont="1"/>
    <xf numFmtId="2" fontId="20" fillId="0" borderId="0" xfId="2" applyNumberFormat="1" applyFont="1" applyProtection="1">
      <alignment horizontal="center" wrapText="1"/>
    </xf>
    <xf numFmtId="167" fontId="1" fillId="0" borderId="0" xfId="0" applyNumberFormat="1" applyFont="1" applyProtection="1"/>
    <xf numFmtId="0" fontId="2" fillId="0" borderId="0" xfId="0" applyFont="1" applyProtection="1"/>
    <xf numFmtId="165" fontId="1" fillId="0" borderId="0" xfId="0" applyNumberFormat="1" applyFont="1" applyProtection="1"/>
    <xf numFmtId="9" fontId="1" fillId="0" borderId="0" xfId="0" applyNumberFormat="1" applyFont="1" applyProtection="1"/>
    <xf numFmtId="9" fontId="1" fillId="0" borderId="0" xfId="0" applyNumberFormat="1" applyFont="1" applyAlignment="1" applyProtection="1">
      <alignment horizontal="center"/>
    </xf>
    <xf numFmtId="9" fontId="1" fillId="0" borderId="0" xfId="4" applyNumberFormat="1" applyFont="1" applyAlignment="1" applyProtection="1">
      <alignment horizontal="center"/>
    </xf>
    <xf numFmtId="3" fontId="1" fillId="0" borderId="0" xfId="0" applyNumberFormat="1" applyFont="1" applyProtection="1"/>
    <xf numFmtId="3" fontId="1" fillId="0" borderId="0" xfId="4" applyNumberFormat="1" applyFont="1" applyAlignment="1" applyProtection="1">
      <alignment horizontal="center"/>
    </xf>
    <xf numFmtId="0" fontId="1" fillId="0" borderId="0" xfId="0" applyFont="1" applyAlignment="1" applyProtection="1">
      <alignment horizontal="left"/>
    </xf>
    <xf numFmtId="3" fontId="1" fillId="0" borderId="0" xfId="0" applyNumberFormat="1" applyFont="1" applyAlignment="1" applyProtection="1">
      <alignment horizontal="left"/>
    </xf>
    <xf numFmtId="0" fontId="1" fillId="0" borderId="0" xfId="0" applyFont="1" applyAlignment="1" applyProtection="1">
      <alignment horizontal="right"/>
    </xf>
    <xf numFmtId="10" fontId="1" fillId="0" borderId="0" xfId="0" applyNumberFormat="1" applyFont="1" applyProtection="1"/>
    <xf numFmtId="164" fontId="1" fillId="0" borderId="0" xfId="0" applyNumberFormat="1" applyFont="1" applyProtection="1"/>
    <xf numFmtId="2" fontId="1" fillId="0" borderId="0" xfId="0" applyNumberFormat="1" applyFont="1" applyProtection="1"/>
    <xf numFmtId="0" fontId="2" fillId="0" borderId="0" xfId="0" applyFont="1"/>
    <xf numFmtId="165" fontId="1" fillId="0" borderId="0" xfId="0" applyNumberFormat="1" applyFont="1"/>
    <xf numFmtId="2" fontId="2" fillId="0" borderId="0" xfId="0" applyNumberFormat="1" applyFont="1"/>
    <xf numFmtId="0" fontId="1" fillId="0" borderId="0" xfId="0" applyFont="1" applyAlignment="1" applyProtection="1">
      <alignment wrapText="1"/>
    </xf>
    <xf numFmtId="0" fontId="1" fillId="0" borderId="0" xfId="0" applyFont="1" applyAlignment="1">
      <alignment wrapText="1"/>
    </xf>
    <xf numFmtId="0" fontId="13" fillId="2" borderId="1" xfId="0" applyFont="1" applyFill="1" applyBorder="1" applyAlignment="1" applyProtection="1">
      <alignment horizontal="left"/>
      <protection hidden="1"/>
    </xf>
    <xf numFmtId="0" fontId="14" fillId="2" borderId="1" xfId="0" applyFont="1" applyFill="1" applyBorder="1" applyAlignment="1" applyProtection="1">
      <alignment horizontal="left"/>
      <protection hidden="1"/>
    </xf>
    <xf numFmtId="0" fontId="15" fillId="2" borderId="1" xfId="0" applyFont="1" applyFill="1" applyBorder="1" applyAlignment="1" applyProtection="1">
      <alignment horizontal="left" vertical="center"/>
      <protection hidden="1"/>
    </xf>
    <xf numFmtId="0" fontId="1" fillId="2" borderId="1" xfId="0" applyFont="1" applyFill="1" applyBorder="1" applyAlignment="1" applyProtection="1">
      <alignment horizontal="left"/>
      <protection hidden="1"/>
    </xf>
    <xf numFmtId="0" fontId="2" fillId="2" borderId="1"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3" borderId="0" xfId="0" applyFont="1"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0" fontId="2" fillId="4" borderId="1" xfId="0" applyFont="1" applyFill="1" applyBorder="1" applyAlignment="1" applyProtection="1">
      <alignment horizontal="center" vertical="center"/>
      <protection hidden="1"/>
    </xf>
    <xf numFmtId="10" fontId="2" fillId="4" borderId="1" xfId="0" quotePrefix="1" applyNumberFormat="1" applyFont="1" applyFill="1" applyBorder="1" applyAlignment="1" applyProtection="1">
      <alignment horizontal="center" vertical="center"/>
      <protection hidden="1"/>
    </xf>
    <xf numFmtId="165" fontId="1" fillId="5" borderId="1" xfId="0" applyNumberFormat="1" applyFont="1" applyFill="1" applyBorder="1" applyAlignment="1" applyProtection="1">
      <alignment horizontal="center" vertical="center"/>
      <protection hidden="1"/>
    </xf>
    <xf numFmtId="0" fontId="1" fillId="0" borderId="0" xfId="0" applyFont="1" applyFill="1" applyBorder="1" applyProtection="1">
      <protection hidden="1"/>
    </xf>
    <xf numFmtId="0" fontId="1" fillId="3" borderId="0" xfId="0" applyFont="1" applyFill="1" applyBorder="1" applyProtection="1">
      <protection hidden="1"/>
    </xf>
    <xf numFmtId="0" fontId="2" fillId="4" borderId="1" xfId="0" quotePrefix="1" applyNumberFormat="1" applyFont="1" applyFill="1" applyBorder="1" applyAlignment="1" applyProtection="1">
      <alignment horizontal="center" vertical="center"/>
      <protection hidden="1"/>
    </xf>
    <xf numFmtId="165" fontId="1" fillId="6" borderId="1" xfId="0" applyNumberFormat="1" applyFont="1" applyFill="1" applyBorder="1" applyAlignment="1" applyProtection="1">
      <alignment horizontal="center" vertical="center"/>
      <protection hidden="1"/>
    </xf>
    <xf numFmtId="165" fontId="1" fillId="7" borderId="1" xfId="0" applyNumberFormat="1" applyFont="1" applyFill="1" applyBorder="1" applyAlignment="1" applyProtection="1">
      <alignment horizontal="center" vertical="center"/>
      <protection hidden="1"/>
    </xf>
    <xf numFmtId="0" fontId="2" fillId="8" borderId="1" xfId="0" applyNumberFormat="1"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 fillId="9" borderId="1" xfId="0" applyNumberFormat="1" applyFont="1" applyFill="1" applyBorder="1" applyAlignment="1" applyProtection="1">
      <alignment horizontal="center" vertical="center"/>
      <protection hidden="1"/>
    </xf>
    <xf numFmtId="0" fontId="2" fillId="10" borderId="1" xfId="0" applyNumberFormat="1" applyFont="1" applyFill="1" applyBorder="1" applyAlignment="1" applyProtection="1">
      <alignment horizontal="center" vertical="center"/>
      <protection hidden="1"/>
    </xf>
    <xf numFmtId="0" fontId="2" fillId="11" borderId="1" xfId="0" applyFont="1" applyFill="1" applyBorder="1" applyAlignment="1" applyProtection="1">
      <alignment horizontal="center" vertical="center" wrapText="1"/>
      <protection hidden="1"/>
    </xf>
    <xf numFmtId="165" fontId="1" fillId="11" borderId="1" xfId="0" applyNumberFormat="1" applyFont="1" applyFill="1" applyBorder="1" applyAlignment="1" applyProtection="1">
      <alignment horizontal="center" vertical="center" wrapText="1"/>
      <protection hidden="1"/>
    </xf>
    <xf numFmtId="165" fontId="1" fillId="4" borderId="1" xfId="0" applyNumberFormat="1" applyFont="1" applyFill="1" applyBorder="1" applyAlignment="1" applyProtection="1">
      <alignment horizontal="center"/>
      <protection hidden="1"/>
    </xf>
    <xf numFmtId="0" fontId="1" fillId="3" borderId="0" xfId="0" applyFont="1" applyFill="1" applyProtection="1">
      <protection hidden="1"/>
    </xf>
    <xf numFmtId="0" fontId="2" fillId="12" borderId="1" xfId="0" applyFont="1" applyFill="1" applyBorder="1" applyAlignment="1" applyProtection="1">
      <alignment horizontal="center" vertical="center"/>
      <protection hidden="1"/>
    </xf>
    <xf numFmtId="2" fontId="1" fillId="12" borderId="1" xfId="0" applyNumberFormat="1" applyFont="1" applyFill="1" applyBorder="1" applyAlignment="1" applyProtection="1">
      <alignment horizontal="center"/>
      <protection hidden="1"/>
    </xf>
    <xf numFmtId="2" fontId="1" fillId="2" borderId="1" xfId="0" applyNumberFormat="1" applyFont="1" applyFill="1" applyBorder="1" applyAlignment="1" applyProtection="1">
      <alignment horizontal="center"/>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3" fontId="1" fillId="5" borderId="1" xfId="0" applyNumberFormat="1" applyFont="1" applyFill="1" applyBorder="1" applyAlignment="1" applyProtection="1">
      <alignment horizontal="center" vertical="center"/>
      <protection hidden="1"/>
    </xf>
    <xf numFmtId="3" fontId="1" fillId="5" borderId="6" xfId="0" applyNumberFormat="1" applyFont="1" applyFill="1" applyBorder="1" applyAlignment="1" applyProtection="1">
      <alignment horizontal="center" vertical="center"/>
      <protection hidden="1"/>
    </xf>
    <xf numFmtId="3" fontId="1" fillId="5" borderId="7" xfId="0" applyNumberFormat="1" applyFont="1" applyFill="1" applyBorder="1" applyAlignment="1" applyProtection="1">
      <alignment horizontal="center" vertical="center"/>
      <protection hidden="1"/>
    </xf>
    <xf numFmtId="3" fontId="1" fillId="5" borderId="8" xfId="0" applyNumberFormat="1" applyFont="1" applyFill="1" applyBorder="1" applyAlignment="1" applyProtection="1">
      <alignment horizontal="center" vertical="center"/>
      <protection hidden="1"/>
    </xf>
    <xf numFmtId="3" fontId="1" fillId="6" borderId="1" xfId="0" applyNumberFormat="1" applyFont="1" applyFill="1" applyBorder="1" applyAlignment="1" applyProtection="1">
      <alignment horizontal="center" vertical="center"/>
      <protection hidden="1"/>
    </xf>
    <xf numFmtId="3" fontId="1" fillId="6" borderId="9" xfId="0" applyNumberFormat="1" applyFont="1" applyFill="1" applyBorder="1" applyAlignment="1" applyProtection="1">
      <alignment horizontal="center" vertical="center"/>
      <protection hidden="1"/>
    </xf>
    <xf numFmtId="3" fontId="1" fillId="6" borderId="10" xfId="0" applyNumberFormat="1" applyFont="1" applyFill="1" applyBorder="1" applyAlignment="1" applyProtection="1">
      <alignment horizontal="center" vertical="center"/>
      <protection hidden="1"/>
    </xf>
    <xf numFmtId="3" fontId="1" fillId="7" borderId="1" xfId="0" applyNumberFormat="1" applyFont="1" applyFill="1" applyBorder="1" applyAlignment="1" applyProtection="1">
      <alignment horizontal="center" vertical="center"/>
      <protection hidden="1"/>
    </xf>
    <xf numFmtId="3" fontId="1" fillId="7" borderId="9" xfId="0" applyNumberFormat="1" applyFont="1" applyFill="1" applyBorder="1" applyAlignment="1" applyProtection="1">
      <alignment horizontal="center" vertical="center"/>
      <protection hidden="1"/>
    </xf>
    <xf numFmtId="3" fontId="1" fillId="7" borderId="10" xfId="0" applyNumberFormat="1" applyFont="1" applyFill="1" applyBorder="1" applyAlignment="1" applyProtection="1">
      <alignment horizontal="center" vertical="center"/>
      <protection hidden="1"/>
    </xf>
    <xf numFmtId="3" fontId="1" fillId="5" borderId="9" xfId="0" applyNumberFormat="1" applyFont="1" applyFill="1" applyBorder="1" applyAlignment="1" applyProtection="1">
      <alignment horizontal="center" vertical="center"/>
      <protection hidden="1"/>
    </xf>
    <xf numFmtId="3" fontId="1" fillId="5" borderId="10" xfId="0" applyNumberFormat="1" applyFont="1" applyFill="1" applyBorder="1" applyAlignment="1" applyProtection="1">
      <alignment horizontal="center" vertical="center"/>
      <protection hidden="1"/>
    </xf>
    <xf numFmtId="3" fontId="1" fillId="7" borderId="11" xfId="0" applyNumberFormat="1" applyFont="1" applyFill="1" applyBorder="1" applyAlignment="1" applyProtection="1">
      <alignment horizontal="center" vertical="center"/>
      <protection hidden="1"/>
    </xf>
    <xf numFmtId="3" fontId="1" fillId="7" borderId="12" xfId="0" applyNumberFormat="1" applyFont="1" applyFill="1" applyBorder="1" applyAlignment="1" applyProtection="1">
      <alignment horizontal="center" vertical="center"/>
      <protection hidden="1"/>
    </xf>
    <xf numFmtId="3" fontId="1" fillId="7" borderId="13" xfId="0" applyNumberFormat="1" applyFont="1" applyFill="1" applyBorder="1" applyAlignment="1" applyProtection="1">
      <alignment horizontal="center" vertical="center"/>
      <protection hidden="1"/>
    </xf>
    <xf numFmtId="0" fontId="2" fillId="11" borderId="1" xfId="0" applyFont="1" applyFill="1" applyBorder="1" applyAlignment="1" applyProtection="1">
      <alignment horizontal="center" vertical="center"/>
      <protection hidden="1"/>
    </xf>
    <xf numFmtId="0" fontId="2" fillId="13" borderId="1" xfId="0" applyFont="1" applyFill="1" applyBorder="1" applyAlignment="1" applyProtection="1">
      <alignment horizontal="center" vertical="center"/>
      <protection hidden="1"/>
    </xf>
    <xf numFmtId="3" fontId="1" fillId="7" borderId="3" xfId="0" applyNumberFormat="1" applyFont="1" applyFill="1" applyBorder="1" applyAlignment="1" applyProtection="1">
      <alignment horizontal="center" vertical="center"/>
      <protection hidden="1"/>
    </xf>
    <xf numFmtId="3" fontId="1" fillId="7" borderId="4" xfId="0" applyNumberFormat="1" applyFont="1" applyFill="1" applyBorder="1" applyAlignment="1" applyProtection="1">
      <alignment horizontal="center" vertical="center"/>
      <protection hidden="1"/>
    </xf>
    <xf numFmtId="3" fontId="1" fillId="7" borderId="5" xfId="0" applyNumberFormat="1" applyFont="1" applyFill="1" applyBorder="1" applyAlignment="1" applyProtection="1">
      <alignment horizontal="center" vertical="center"/>
      <protection hidden="1"/>
    </xf>
    <xf numFmtId="0" fontId="2" fillId="14" borderId="1" xfId="0" applyFont="1" applyFill="1" applyBorder="1" applyAlignment="1" applyProtection="1">
      <alignment horizontal="center" vertical="center" wrapText="1"/>
      <protection hidden="1"/>
    </xf>
    <xf numFmtId="0" fontId="2" fillId="14" borderId="1" xfId="0" applyFont="1" applyFill="1" applyBorder="1" applyAlignment="1" applyProtection="1">
      <alignment horizontal="center" vertical="center"/>
      <protection hidden="1"/>
    </xf>
    <xf numFmtId="3" fontId="1" fillId="14" borderId="1" xfId="0" applyNumberFormat="1" applyFont="1" applyFill="1" applyBorder="1" applyAlignment="1" applyProtection="1">
      <alignment horizontal="center" vertical="center"/>
      <protection hidden="1"/>
    </xf>
    <xf numFmtId="169" fontId="1" fillId="14" borderId="11" xfId="1" applyNumberFormat="1" applyFont="1" applyFill="1" applyBorder="1" applyAlignment="1" applyProtection="1">
      <alignment horizontal="left"/>
      <protection hidden="1"/>
    </xf>
    <xf numFmtId="169" fontId="1" fillId="14" borderId="12" xfId="1" applyNumberFormat="1" applyFont="1" applyFill="1" applyBorder="1" applyAlignment="1" applyProtection="1">
      <alignment horizontal="left"/>
      <protection hidden="1"/>
    </xf>
    <xf numFmtId="169" fontId="1" fillId="14" borderId="13" xfId="1" applyNumberFormat="1" applyFont="1" applyFill="1" applyBorder="1" applyAlignment="1" applyProtection="1">
      <alignment horizontal="left"/>
      <protection hidden="1"/>
    </xf>
    <xf numFmtId="4" fontId="1" fillId="5" borderId="14" xfId="0" applyNumberFormat="1" applyFont="1" applyFill="1" applyBorder="1" applyAlignment="1" applyProtection="1">
      <alignment horizontal="center" vertical="center"/>
      <protection hidden="1"/>
    </xf>
    <xf numFmtId="4" fontId="1" fillId="5" borderId="15" xfId="0" applyNumberFormat="1" applyFont="1" applyFill="1" applyBorder="1" applyAlignment="1" applyProtection="1">
      <alignment horizontal="center" vertical="center"/>
      <protection hidden="1"/>
    </xf>
    <xf numFmtId="4" fontId="1" fillId="5" borderId="16" xfId="0" applyNumberFormat="1" applyFont="1" applyFill="1" applyBorder="1" applyAlignment="1" applyProtection="1">
      <alignment horizontal="center" vertical="center"/>
      <protection hidden="1"/>
    </xf>
    <xf numFmtId="4" fontId="1" fillId="6" borderId="9" xfId="0" applyNumberFormat="1" applyFont="1" applyFill="1" applyBorder="1" applyAlignment="1" applyProtection="1">
      <alignment horizontal="center" vertical="center"/>
      <protection hidden="1"/>
    </xf>
    <xf numFmtId="4" fontId="1" fillId="6" borderId="1" xfId="0" applyNumberFormat="1" applyFont="1" applyFill="1" applyBorder="1" applyAlignment="1" applyProtection="1">
      <alignment horizontal="center" vertical="center"/>
      <protection hidden="1"/>
    </xf>
    <xf numFmtId="4" fontId="1" fillId="6" borderId="10" xfId="0" applyNumberFormat="1" applyFont="1" applyFill="1" applyBorder="1" applyAlignment="1" applyProtection="1">
      <alignment horizontal="center" vertical="center"/>
      <protection hidden="1"/>
    </xf>
    <xf numFmtId="4" fontId="1" fillId="7" borderId="11" xfId="0" applyNumberFormat="1" applyFont="1" applyFill="1" applyBorder="1" applyAlignment="1" applyProtection="1">
      <alignment horizontal="center" vertical="center"/>
      <protection hidden="1"/>
    </xf>
    <xf numFmtId="4" fontId="1" fillId="7" borderId="12" xfId="0" applyNumberFormat="1" applyFont="1" applyFill="1" applyBorder="1" applyAlignment="1" applyProtection="1">
      <alignment horizontal="center" vertical="center"/>
      <protection hidden="1"/>
    </xf>
    <xf numFmtId="4" fontId="1" fillId="7" borderId="13" xfId="0" applyNumberFormat="1" applyFont="1" applyFill="1" applyBorder="1" applyAlignment="1" applyProtection="1">
      <alignment horizontal="center" vertical="center"/>
      <protection hidden="1"/>
    </xf>
    <xf numFmtId="4" fontId="1" fillId="5" borderId="9" xfId="0" applyNumberFormat="1" applyFont="1" applyFill="1" applyBorder="1" applyAlignment="1" applyProtection="1">
      <alignment horizontal="center" vertical="center"/>
      <protection hidden="1"/>
    </xf>
    <xf numFmtId="4" fontId="1" fillId="5" borderId="1" xfId="0" applyNumberFormat="1" applyFont="1" applyFill="1" applyBorder="1" applyAlignment="1" applyProtection="1">
      <alignment horizontal="center" vertical="center"/>
      <protection hidden="1"/>
    </xf>
    <xf numFmtId="4" fontId="1" fillId="5" borderId="10" xfId="0" applyNumberFormat="1" applyFont="1" applyFill="1" applyBorder="1" applyAlignment="1" applyProtection="1">
      <alignment horizontal="center" vertical="center"/>
      <protection hidden="1"/>
    </xf>
    <xf numFmtId="4" fontId="1" fillId="7" borderId="3" xfId="0" applyNumberFormat="1" applyFont="1" applyFill="1" applyBorder="1" applyAlignment="1" applyProtection="1">
      <alignment horizontal="center" vertical="center"/>
      <protection hidden="1"/>
    </xf>
    <xf numFmtId="4" fontId="1" fillId="7" borderId="4" xfId="0" applyNumberFormat="1" applyFont="1" applyFill="1" applyBorder="1" applyAlignment="1" applyProtection="1">
      <alignment horizontal="center" vertical="center"/>
      <protection hidden="1"/>
    </xf>
    <xf numFmtId="4" fontId="1" fillId="7" borderId="5" xfId="0" applyNumberFormat="1" applyFont="1" applyFill="1" applyBorder="1" applyAlignment="1" applyProtection="1">
      <alignment horizontal="center" vertical="center"/>
      <protection hidden="1"/>
    </xf>
    <xf numFmtId="3" fontId="1" fillId="0" borderId="0" xfId="0" applyNumberFormat="1" applyFont="1" applyFill="1" applyBorder="1" applyAlignment="1" applyProtection="1">
      <alignment horizontal="center" vertical="center"/>
      <protection hidden="1"/>
    </xf>
    <xf numFmtId="4" fontId="1" fillId="14" borderId="6" xfId="0" applyNumberFormat="1" applyFont="1" applyFill="1" applyBorder="1" applyAlignment="1" applyProtection="1">
      <alignment horizontal="center" vertical="center"/>
      <protection hidden="1"/>
    </xf>
    <xf numFmtId="4" fontId="1" fillId="14" borderId="7" xfId="0" applyNumberFormat="1" applyFont="1" applyFill="1" applyBorder="1" applyAlignment="1" applyProtection="1">
      <alignment horizontal="center" vertical="center"/>
      <protection hidden="1"/>
    </xf>
    <xf numFmtId="4" fontId="1" fillId="14" borderId="11" xfId="0" applyNumberFormat="1" applyFont="1" applyFill="1" applyBorder="1" applyAlignment="1" applyProtection="1">
      <alignment horizontal="center" vertical="center"/>
      <protection hidden="1"/>
    </xf>
    <xf numFmtId="4" fontId="1" fillId="14" borderId="12" xfId="0" applyNumberFormat="1" applyFont="1" applyFill="1" applyBorder="1" applyAlignment="1" applyProtection="1">
      <alignment horizontal="center" vertical="center"/>
      <protection hidden="1"/>
    </xf>
    <xf numFmtId="3" fontId="1" fillId="5" borderId="14" xfId="0" applyNumberFormat="1" applyFont="1" applyFill="1" applyBorder="1" applyAlignment="1" applyProtection="1">
      <alignment horizontal="center" vertical="center"/>
      <protection hidden="1"/>
    </xf>
    <xf numFmtId="3" fontId="1" fillId="5" borderId="15" xfId="0" applyNumberFormat="1" applyFont="1" applyFill="1" applyBorder="1" applyAlignment="1" applyProtection="1">
      <alignment horizontal="center" vertical="center"/>
      <protection hidden="1"/>
    </xf>
    <xf numFmtId="3" fontId="1" fillId="5" borderId="16" xfId="0" applyNumberFormat="1" applyFont="1" applyFill="1" applyBorder="1" applyAlignment="1" applyProtection="1">
      <alignment horizontal="center" vertical="center"/>
      <protection hidden="1"/>
    </xf>
    <xf numFmtId="3" fontId="1" fillId="14" borderId="13" xfId="0" applyNumberFormat="1" applyFont="1" applyFill="1" applyBorder="1" applyAlignment="1" applyProtection="1">
      <alignment horizontal="center" vertical="center"/>
      <protection hidden="1"/>
    </xf>
    <xf numFmtId="4" fontId="1" fillId="14" borderId="3" xfId="0" applyNumberFormat="1" applyFont="1" applyFill="1" applyBorder="1" applyAlignment="1" applyProtection="1">
      <alignment horizontal="center" vertical="center"/>
      <protection hidden="1"/>
    </xf>
    <xf numFmtId="4" fontId="1" fillId="14" borderId="4" xfId="0" applyNumberFormat="1" applyFont="1" applyFill="1" applyBorder="1" applyAlignment="1" applyProtection="1">
      <alignment horizontal="center" vertical="center"/>
      <protection hidden="1"/>
    </xf>
    <xf numFmtId="8" fontId="1" fillId="0" borderId="0" xfId="0" applyNumberFormat="1" applyFont="1" applyFill="1" applyBorder="1" applyProtection="1">
      <protection hidden="1"/>
    </xf>
    <xf numFmtId="0" fontId="2" fillId="15" borderId="1" xfId="0" applyFont="1" applyFill="1" applyBorder="1" applyAlignment="1" applyProtection="1">
      <alignment horizontal="center" vertical="center" wrapText="1"/>
      <protection hidden="1"/>
    </xf>
    <xf numFmtId="0" fontId="2" fillId="15" borderId="1" xfId="0" applyFont="1" applyFill="1" applyBorder="1" applyAlignment="1" applyProtection="1">
      <alignment horizontal="center" vertical="center"/>
      <protection hidden="1"/>
    </xf>
    <xf numFmtId="3" fontId="1" fillId="15" borderId="1" xfId="0" applyNumberFormat="1" applyFont="1" applyFill="1" applyBorder="1" applyAlignment="1" applyProtection="1">
      <alignment horizontal="center" vertical="center"/>
      <protection hidden="1"/>
    </xf>
    <xf numFmtId="3" fontId="1" fillId="0" borderId="0" xfId="0" applyNumberFormat="1" applyFont="1" applyFill="1" applyBorder="1" applyProtection="1">
      <protection hidden="1"/>
    </xf>
    <xf numFmtId="0" fontId="1" fillId="0" borderId="0" xfId="0" applyFont="1" applyProtection="1">
      <protection hidden="1"/>
    </xf>
    <xf numFmtId="0" fontId="2" fillId="13" borderId="1" xfId="0" applyFont="1" applyFill="1" applyBorder="1" applyAlignment="1" applyProtection="1">
      <alignment horizontal="center" vertical="center" wrapText="1"/>
      <protection hidden="1"/>
    </xf>
    <xf numFmtId="3" fontId="1" fillId="13" borderId="1" xfId="0" applyNumberFormat="1" applyFont="1" applyFill="1" applyBorder="1" applyAlignment="1" applyProtection="1">
      <alignment horizontal="center" vertical="center"/>
      <protection hidden="1"/>
    </xf>
    <xf numFmtId="0" fontId="2" fillId="16" borderId="1" xfId="0" applyFont="1" applyFill="1" applyBorder="1" applyAlignment="1" applyProtection="1">
      <alignment horizontal="center" vertical="center" wrapText="1"/>
      <protection hidden="1"/>
    </xf>
    <xf numFmtId="0" fontId="2" fillId="16" borderId="1" xfId="0" applyFont="1" applyFill="1" applyBorder="1" applyAlignment="1" applyProtection="1">
      <alignment horizontal="center" vertical="center"/>
      <protection hidden="1"/>
    </xf>
    <xf numFmtId="3" fontId="1" fillId="16" borderId="1" xfId="0" applyNumberFormat="1" applyFont="1" applyFill="1" applyBorder="1" applyAlignment="1" applyProtection="1">
      <alignment horizontal="center" vertical="center"/>
      <protection hidden="1"/>
    </xf>
    <xf numFmtId="0" fontId="1" fillId="3" borderId="1" xfId="0" applyFont="1" applyFill="1" applyBorder="1" applyAlignment="1" applyProtection="1">
      <alignment wrapText="1"/>
      <protection hidden="1"/>
    </xf>
    <xf numFmtId="0" fontId="1" fillId="3" borderId="1" xfId="0" applyFont="1" applyFill="1" applyBorder="1" applyProtection="1">
      <protection hidden="1"/>
    </xf>
    <xf numFmtId="0" fontId="7" fillId="2" borderId="0" xfId="0" applyFont="1" applyFill="1" applyBorder="1"/>
    <xf numFmtId="0" fontId="1" fillId="2" borderId="0" xfId="0" applyFont="1" applyFill="1"/>
    <xf numFmtId="3" fontId="22" fillId="2" borderId="0" xfId="6" applyFont="1" applyFill="1">
      <alignment horizontal="center"/>
    </xf>
    <xf numFmtId="17" fontId="7" fillId="2" borderId="0" xfId="0" quotePrefix="1" applyNumberFormat="1" applyFont="1" applyFill="1" applyBorder="1" applyAlignment="1">
      <alignment horizontal="right"/>
    </xf>
    <xf numFmtId="0" fontId="8" fillId="2" borderId="0" xfId="0" applyFont="1" applyFill="1" applyBorder="1"/>
    <xf numFmtId="0" fontId="7" fillId="2" borderId="0" xfId="0" applyFont="1" applyFill="1" applyBorder="1" applyAlignment="1">
      <alignment horizontal="right"/>
    </xf>
    <xf numFmtId="0" fontId="30" fillId="2" borderId="0" xfId="7" applyFill="1"/>
    <xf numFmtId="0" fontId="23" fillId="2" borderId="0" xfId="3" applyFont="1" applyFill="1" applyProtection="1"/>
    <xf numFmtId="3" fontId="1" fillId="2" borderId="0" xfId="5" applyFont="1" applyFill="1">
      <alignment horizontal="center"/>
      <protection hidden="1"/>
    </xf>
    <xf numFmtId="3" fontId="29" fillId="2" borderId="0" xfId="6" applyFill="1">
      <alignment horizontal="center"/>
    </xf>
    <xf numFmtId="0" fontId="9" fillId="2" borderId="0" xfId="0" applyFont="1" applyFill="1" applyBorder="1" applyAlignment="1" applyProtection="1">
      <alignment wrapText="1"/>
    </xf>
    <xf numFmtId="0" fontId="10" fillId="2" borderId="0" xfId="0" applyFont="1" applyFill="1" applyBorder="1" applyAlignment="1" applyProtection="1">
      <alignment horizontal="center"/>
    </xf>
    <xf numFmtId="0" fontId="10" fillId="2" borderId="0" xfId="0" applyFont="1" applyFill="1" applyBorder="1" applyAlignment="1" applyProtection="1">
      <alignment horizontal="left"/>
    </xf>
    <xf numFmtId="0" fontId="27" fillId="2" borderId="0" xfId="8" applyFill="1"/>
    <xf numFmtId="0" fontId="11" fillId="2" borderId="0" xfId="0" applyFont="1" applyFill="1" applyBorder="1" applyAlignment="1" applyProtection="1">
      <alignment horizontal="center"/>
    </xf>
    <xf numFmtId="0" fontId="11" fillId="2" borderId="0" xfId="0" applyFont="1" applyFill="1" applyBorder="1" applyAlignment="1" applyProtection="1">
      <alignment horizontal="left"/>
    </xf>
    <xf numFmtId="0" fontId="7" fillId="2" borderId="0" xfId="0" applyFont="1" applyFill="1" applyBorder="1" applyProtection="1"/>
    <xf numFmtId="0" fontId="27" fillId="2" borderId="0" xfId="8" applyFill="1" applyAlignment="1"/>
    <xf numFmtId="0" fontId="27" fillId="2" borderId="0" xfId="8" applyFill="1" applyAlignment="1">
      <alignment horizontal="left"/>
    </xf>
    <xf numFmtId="0" fontId="12" fillId="2" borderId="0" xfId="0" applyFont="1" applyFill="1" applyBorder="1" applyAlignment="1" applyProtection="1">
      <alignment horizontal="left"/>
    </xf>
    <xf numFmtId="0" fontId="12" fillId="2" borderId="0" xfId="0" applyFont="1" applyFill="1" applyBorder="1" applyProtection="1"/>
    <xf numFmtId="0" fontId="12" fillId="2" borderId="0" xfId="0" applyFont="1" applyFill="1" applyBorder="1" applyAlignment="1" applyProtection="1">
      <alignment horizontal="center"/>
    </xf>
    <xf numFmtId="164" fontId="1" fillId="2" borderId="0" xfId="4" applyNumberFormat="1" applyFont="1" applyFill="1" applyAlignment="1" applyProtection="1">
      <alignment horizontal="center"/>
      <protection hidden="1"/>
    </xf>
    <xf numFmtId="164" fontId="1" fillId="2" borderId="0" xfId="5" applyNumberFormat="1" applyFont="1" applyFill="1">
      <alignment horizontal="center"/>
      <protection hidden="1"/>
    </xf>
    <xf numFmtId="0" fontId="27" fillId="2" borderId="0" xfId="8" applyFill="1" applyAlignment="1">
      <alignment horizontal="center"/>
    </xf>
    <xf numFmtId="0" fontId="12" fillId="2" borderId="0" xfId="0" applyFont="1" applyFill="1" applyBorder="1" applyAlignment="1">
      <alignment vertical="center"/>
    </xf>
    <xf numFmtId="3" fontId="1" fillId="2" borderId="0" xfId="5" applyFill="1">
      <alignment horizontal="center"/>
      <protection hidden="1"/>
    </xf>
    <xf numFmtId="166" fontId="1" fillId="2" borderId="0" xfId="5" applyNumberFormat="1" applyFill="1">
      <alignment horizontal="center"/>
      <protection hidden="1"/>
    </xf>
    <xf numFmtId="0" fontId="12" fillId="2" borderId="0" xfId="0" applyFont="1" applyFill="1" applyBorder="1" applyAlignment="1">
      <alignment wrapText="1"/>
    </xf>
    <xf numFmtId="3" fontId="2" fillId="2" borderId="0" xfId="5" applyFont="1" applyFill="1">
      <alignment horizontal="center"/>
      <protection hidden="1"/>
    </xf>
    <xf numFmtId="3" fontId="2" fillId="2" borderId="0" xfId="5" applyFont="1" applyFill="1" applyAlignment="1">
      <alignment horizontal="center" wrapText="1"/>
      <protection hidden="1"/>
    </xf>
    <xf numFmtId="3" fontId="22" fillId="2" borderId="0" xfId="6" applyFont="1" applyFill="1" applyAlignment="1">
      <alignment horizontal="center" wrapText="1"/>
    </xf>
    <xf numFmtId="0" fontId="12" fillId="2" borderId="0" xfId="0" applyFont="1" applyFill="1" applyBorder="1"/>
    <xf numFmtId="3" fontId="1" fillId="2" borderId="0" xfId="5" applyNumberFormat="1" applyFont="1" applyFill="1">
      <alignment horizontal="center"/>
      <protection hidden="1"/>
    </xf>
    <xf numFmtId="0" fontId="20" fillId="2" borderId="0" xfId="8" applyFont="1" applyFill="1"/>
    <xf numFmtId="0" fontId="7" fillId="2" borderId="0" xfId="0" applyFont="1" applyFill="1" applyBorder="1" applyAlignment="1"/>
    <xf numFmtId="3" fontId="22" fillId="2" borderId="0" xfId="6" applyFont="1" applyFill="1" applyBorder="1">
      <alignment horizontal="center"/>
    </xf>
    <xf numFmtId="3" fontId="1" fillId="2" borderId="0" xfId="5" applyFont="1" applyFill="1" applyBorder="1">
      <alignment horizontal="center"/>
      <protection hidden="1"/>
    </xf>
    <xf numFmtId="0" fontId="1" fillId="2" borderId="0" xfId="0" applyFont="1" applyFill="1" applyBorder="1"/>
    <xf numFmtId="3" fontId="1" fillId="2" borderId="0" xfId="5" applyFill="1" applyBorder="1">
      <alignment horizontal="center"/>
      <protection hidden="1"/>
    </xf>
    <xf numFmtId="0" fontId="7" fillId="2" borderId="0" xfId="0" applyFont="1" applyFill="1" applyBorder="1" applyAlignment="1">
      <alignment horizontal="center"/>
    </xf>
    <xf numFmtId="0" fontId="1" fillId="2" borderId="0" xfId="0" applyFont="1" applyFill="1" applyAlignment="1">
      <alignment horizontal="center"/>
    </xf>
    <xf numFmtId="3" fontId="22" fillId="2" borderId="17" xfId="6" applyFont="1" applyFill="1" applyBorder="1">
      <alignment horizontal="center"/>
    </xf>
    <xf numFmtId="3" fontId="1" fillId="2" borderId="18" xfId="5" applyFont="1" applyFill="1" applyBorder="1">
      <alignment horizontal="center"/>
      <protection hidden="1"/>
    </xf>
    <xf numFmtId="0" fontId="1" fillId="2" borderId="17" xfId="0" applyFont="1" applyFill="1" applyBorder="1"/>
    <xf numFmtId="3" fontId="1" fillId="2" borderId="19" xfId="5" applyFill="1" applyBorder="1">
      <alignment horizontal="center"/>
      <protection hidden="1"/>
    </xf>
    <xf numFmtId="3" fontId="1" fillId="2" borderId="20" xfId="5" applyFill="1" applyBorder="1">
      <alignment horizontal="center"/>
      <protection hidden="1"/>
    </xf>
    <xf numFmtId="0" fontId="7" fillId="2" borderId="0" xfId="8" applyFont="1" applyFill="1"/>
    <xf numFmtId="9" fontId="1" fillId="2" borderId="0" xfId="5" applyNumberFormat="1" applyFont="1" applyFill="1">
      <alignment horizontal="center"/>
      <protection hidden="1"/>
    </xf>
    <xf numFmtId="0" fontId="20" fillId="2" borderId="0" xfId="8" applyFont="1" applyFill="1" applyAlignment="1">
      <alignment vertical="center"/>
    </xf>
    <xf numFmtId="166" fontId="1" fillId="2" borderId="0" xfId="5" applyNumberFormat="1" applyFont="1" applyFill="1">
      <alignment horizontal="center"/>
      <protection hidden="1"/>
    </xf>
    <xf numFmtId="0" fontId="9" fillId="2" borderId="0" xfId="0" applyFont="1" applyFill="1" applyBorder="1" applyProtection="1"/>
    <xf numFmtId="0" fontId="12" fillId="2" borderId="0" xfId="8" applyFont="1" applyFill="1"/>
    <xf numFmtId="3" fontId="1" fillId="2" borderId="0" xfId="0" applyNumberFormat="1" applyFont="1" applyFill="1"/>
    <xf numFmtId="0" fontId="21" fillId="2" borderId="0" xfId="8" applyFont="1" applyFill="1"/>
    <xf numFmtId="0" fontId="1" fillId="2" borderId="0" xfId="0" applyFont="1" applyFill="1" applyProtection="1"/>
    <xf numFmtId="0" fontId="0" fillId="2" borderId="0" xfId="0" applyFill="1"/>
    <xf numFmtId="0" fontId="7" fillId="0" borderId="0" xfId="2" applyFont="1" applyFill="1" applyAlignment="1" applyProtection="1">
      <alignment horizontal="center"/>
      <protection locked="0"/>
    </xf>
    <xf numFmtId="0" fontId="20" fillId="0" borderId="0" xfId="2" applyFont="1" applyFill="1" applyAlignment="1">
      <alignment horizontal="center"/>
      <protection locked="0"/>
    </xf>
    <xf numFmtId="164" fontId="27" fillId="0" borderId="0" xfId="2" applyNumberFormat="1" applyFill="1">
      <alignment horizontal="center" wrapText="1"/>
      <protection locked="0"/>
    </xf>
    <xf numFmtId="164" fontId="7" fillId="0" borderId="0" xfId="2" applyNumberFormat="1" applyFont="1" applyFill="1" applyProtection="1">
      <alignment horizontal="center" wrapText="1"/>
      <protection locked="0"/>
    </xf>
    <xf numFmtId="164" fontId="20" fillId="0" borderId="0" xfId="2" applyNumberFormat="1" applyFont="1" applyFill="1" applyProtection="1">
      <alignment horizontal="center" wrapText="1"/>
      <protection locked="0"/>
    </xf>
    <xf numFmtId="164" fontId="20" fillId="0" borderId="0" xfId="2" applyNumberFormat="1" applyFont="1" applyFill="1">
      <alignment horizontal="center" wrapText="1"/>
      <protection locked="0"/>
    </xf>
    <xf numFmtId="0" fontId="7" fillId="0" borderId="0" xfId="2" applyFont="1" applyFill="1" applyProtection="1">
      <alignment horizontal="center" wrapText="1"/>
      <protection locked="0"/>
    </xf>
    <xf numFmtId="0" fontId="20" fillId="0" borderId="0" xfId="2" applyFont="1" applyFill="1">
      <alignment horizontal="center" wrapText="1"/>
      <protection locked="0"/>
    </xf>
    <xf numFmtId="0" fontId="20" fillId="0" borderId="0" xfId="2" applyFont="1" applyFill="1" applyProtection="1">
      <alignment horizontal="center" wrapText="1"/>
      <protection locked="0"/>
    </xf>
    <xf numFmtId="3" fontId="7" fillId="0" borderId="0" xfId="2" applyNumberFormat="1" applyFont="1" applyFill="1" applyProtection="1">
      <alignment horizontal="center" wrapText="1"/>
      <protection locked="0"/>
    </xf>
    <xf numFmtId="3" fontId="20" fillId="0" borderId="0" xfId="2" applyNumberFormat="1" applyFont="1" applyFill="1" applyProtection="1">
      <alignment horizontal="center" wrapText="1"/>
      <protection locked="0"/>
    </xf>
    <xf numFmtId="2" fontId="20" fillId="0" borderId="0" xfId="2" applyNumberFormat="1" applyFont="1" applyFill="1">
      <alignment horizontal="center" wrapText="1"/>
      <protection locked="0"/>
    </xf>
    <xf numFmtId="2" fontId="20" fillId="0" borderId="0" xfId="2" applyNumberFormat="1" applyFont="1" applyFill="1" applyProtection="1">
      <alignment horizontal="center" wrapText="1"/>
      <protection locked="0"/>
    </xf>
    <xf numFmtId="1" fontId="20" fillId="0" borderId="0" xfId="2" applyNumberFormat="1" applyFont="1" applyFill="1">
      <alignment horizontal="center" wrapText="1"/>
      <protection locked="0"/>
    </xf>
    <xf numFmtId="1" fontId="20" fillId="0" borderId="0" xfId="2" applyNumberFormat="1" applyFont="1" applyFill="1" applyProtection="1">
      <alignment horizontal="center" wrapText="1"/>
      <protection locked="0"/>
    </xf>
    <xf numFmtId="9" fontId="20" fillId="0" borderId="0" xfId="2" applyNumberFormat="1" applyFont="1" applyFill="1" applyProtection="1">
      <alignment horizontal="center" wrapText="1"/>
      <protection locked="0"/>
    </xf>
    <xf numFmtId="165" fontId="20" fillId="0" borderId="0" xfId="2" applyNumberFormat="1" applyFont="1" applyFill="1">
      <alignment horizontal="center" wrapText="1"/>
      <protection locked="0"/>
    </xf>
    <xf numFmtId="165" fontId="20" fillId="0" borderId="0" xfId="2" applyNumberFormat="1" applyFont="1" applyFill="1" applyProtection="1">
      <alignment horizontal="center" wrapText="1"/>
      <protection locked="0"/>
    </xf>
    <xf numFmtId="9" fontId="20" fillId="0" borderId="0" xfId="2" applyNumberFormat="1" applyFont="1" applyFill="1">
      <alignment horizontal="center" wrapText="1"/>
      <protection locked="0"/>
    </xf>
    <xf numFmtId="165" fontId="27" fillId="0" borderId="0" xfId="2" applyNumberFormat="1" applyFill="1">
      <alignment horizontal="center" wrapText="1"/>
      <protection locked="0"/>
    </xf>
    <xf numFmtId="165" fontId="27" fillId="0" borderId="0" xfId="2" applyNumberFormat="1" applyFill="1" applyProtection="1">
      <alignment horizontal="center" wrapText="1"/>
      <protection locked="0"/>
    </xf>
    <xf numFmtId="3" fontId="20" fillId="0" borderId="0" xfId="2" applyNumberFormat="1" applyFont="1" applyFill="1">
      <alignment horizontal="center" wrapText="1"/>
      <protection locked="0"/>
    </xf>
    <xf numFmtId="1" fontId="7" fillId="0" borderId="0" xfId="2" applyNumberFormat="1" applyFont="1" applyFill="1" applyProtection="1">
      <alignment horizontal="center" wrapText="1"/>
      <protection locked="0"/>
    </xf>
    <xf numFmtId="9" fontId="7" fillId="0" borderId="0" xfId="2" applyNumberFormat="1" applyFont="1" applyFill="1" applyProtection="1">
      <alignment horizontal="center" wrapText="1"/>
      <protection locked="0"/>
    </xf>
    <xf numFmtId="165" fontId="7" fillId="0" borderId="0" xfId="2" applyNumberFormat="1" applyFont="1" applyFill="1" applyProtection="1">
      <alignment horizontal="center" wrapText="1"/>
      <protection locked="0"/>
    </xf>
    <xf numFmtId="0" fontId="27" fillId="0" borderId="0" xfId="2" applyFill="1">
      <alignment horizontal="center" wrapText="1"/>
      <protection locked="0"/>
    </xf>
    <xf numFmtId="3" fontId="20" fillId="0" borderId="0" xfId="2" applyNumberFormat="1" applyFont="1" applyFill="1" applyBorder="1">
      <alignment horizontal="center" wrapText="1"/>
      <protection locked="0"/>
    </xf>
    <xf numFmtId="3" fontId="20" fillId="0" borderId="0" xfId="2" applyNumberFormat="1" applyFont="1" applyFill="1" applyBorder="1" applyProtection="1">
      <alignment horizontal="center" wrapText="1"/>
      <protection locked="0"/>
    </xf>
    <xf numFmtId="10" fontId="20" fillId="0" borderId="21" xfId="2" applyNumberFormat="1" applyFont="1" applyFill="1" applyBorder="1">
      <alignment horizontal="center" wrapText="1"/>
      <protection locked="0"/>
    </xf>
    <xf numFmtId="10" fontId="20" fillId="0" borderId="22" xfId="2" applyNumberFormat="1" applyFont="1" applyFill="1" applyBorder="1">
      <alignment horizontal="center" wrapText="1"/>
      <protection locked="0"/>
    </xf>
    <xf numFmtId="10" fontId="20" fillId="0" borderId="21" xfId="2" applyNumberFormat="1" applyFont="1" applyFill="1" applyBorder="1" applyProtection="1">
      <alignment horizontal="center" wrapText="1"/>
      <protection locked="0"/>
    </xf>
    <xf numFmtId="10" fontId="20" fillId="0" borderId="22" xfId="2" applyNumberFormat="1" applyFont="1" applyFill="1" applyBorder="1" applyProtection="1">
      <alignment horizontal="center" wrapText="1"/>
      <protection locked="0"/>
    </xf>
    <xf numFmtId="168" fontId="20" fillId="0" borderId="0" xfId="1" applyNumberFormat="1" applyFont="1" applyFill="1" applyAlignment="1" applyProtection="1">
      <alignment horizontal="center" wrapText="1"/>
      <protection locked="0"/>
    </xf>
    <xf numFmtId="3" fontId="27" fillId="0" borderId="0" xfId="2" applyNumberFormat="1" applyFill="1">
      <alignment horizontal="center" wrapText="1"/>
      <protection locked="0"/>
    </xf>
    <xf numFmtId="3" fontId="27" fillId="0" borderId="0" xfId="2" applyNumberFormat="1" applyFill="1" applyProtection="1">
      <alignment horizontal="center" wrapText="1"/>
      <protection locked="0"/>
    </xf>
    <xf numFmtId="1" fontId="7" fillId="2" borderId="0" xfId="0" applyNumberFormat="1" applyFont="1" applyFill="1" applyBorder="1" applyProtection="1">
      <protection hidden="1"/>
    </xf>
    <xf numFmtId="3" fontId="1" fillId="2" borderId="0" xfId="5" applyFont="1" applyFill="1" applyAlignment="1" applyProtection="1">
      <alignment horizontal="left"/>
      <protection hidden="1"/>
    </xf>
    <xf numFmtId="169" fontId="1" fillId="2" borderId="0" xfId="1" applyNumberFormat="1" applyFont="1" applyFill="1" applyProtection="1">
      <protection hidden="1"/>
    </xf>
    <xf numFmtId="0" fontId="1" fillId="2" borderId="0" xfId="0" applyFont="1" applyFill="1" applyProtection="1">
      <protection hidden="1"/>
    </xf>
    <xf numFmtId="3" fontId="22" fillId="2" borderId="0" xfId="6" applyFont="1" applyFill="1" applyProtection="1">
      <alignment horizontal="center"/>
      <protection hidden="1"/>
    </xf>
    <xf numFmtId="3" fontId="26" fillId="2" borderId="0" xfId="6" applyFont="1" applyFill="1" applyProtection="1">
      <alignment horizontal="center"/>
      <protection hidden="1"/>
    </xf>
    <xf numFmtId="0" fontId="12" fillId="2" borderId="0" xfId="0" applyFont="1" applyFill="1" applyBorder="1" applyAlignment="1" applyProtection="1">
      <alignment wrapText="1"/>
    </xf>
    <xf numFmtId="0" fontId="7" fillId="2" borderId="0" xfId="0" applyFont="1" applyFill="1" applyBorder="1" applyAlignment="1" applyProtection="1">
      <alignment wrapText="1"/>
    </xf>
    <xf numFmtId="0" fontId="7" fillId="2" borderId="22" xfId="0" applyFont="1" applyFill="1" applyBorder="1" applyAlignment="1" applyProtection="1">
      <alignment wrapText="1"/>
    </xf>
    <xf numFmtId="0" fontId="7" fillId="2" borderId="18" xfId="0" applyFont="1" applyFill="1" applyBorder="1" applyAlignment="1" applyProtection="1">
      <alignment wrapText="1"/>
    </xf>
    <xf numFmtId="0" fontId="7" fillId="2" borderId="21" xfId="0" applyFont="1" applyFill="1" applyBorder="1" applyAlignment="1" applyProtection="1">
      <alignment wrapText="1"/>
    </xf>
    <xf numFmtId="3" fontId="1" fillId="2" borderId="0" xfId="5" applyFont="1" applyFill="1" applyAlignment="1" applyProtection="1">
      <alignment horizontal="right"/>
      <protection hidden="1"/>
    </xf>
    <xf numFmtId="0" fontId="7" fillId="2" borderId="0" xfId="0" applyFont="1" applyFill="1" applyBorder="1" applyProtection="1">
      <protection hidden="1"/>
    </xf>
    <xf numFmtId="0" fontId="27" fillId="2" borderId="0" xfId="8" applyFill="1" applyAlignment="1">
      <alignment horizontal="left" vertical="top" wrapText="1"/>
    </xf>
    <xf numFmtId="0" fontId="7" fillId="2" borderId="0" xfId="0" applyFont="1" applyFill="1" applyBorder="1" applyAlignment="1" applyProtection="1">
      <alignment horizontal="left" wrapText="1"/>
    </xf>
    <xf numFmtId="0" fontId="7" fillId="2" borderId="19" xfId="0" applyFont="1" applyFill="1" applyBorder="1" applyAlignment="1" applyProtection="1">
      <alignment horizontal="left" wrapText="1"/>
    </xf>
    <xf numFmtId="0" fontId="7" fillId="2" borderId="23" xfId="0" applyFont="1" applyFill="1" applyBorder="1" applyAlignment="1" applyProtection="1">
      <alignment horizontal="left" wrapText="1"/>
    </xf>
    <xf numFmtId="0" fontId="7" fillId="2" borderId="0" xfId="0" applyFont="1" applyFill="1" applyBorder="1" applyAlignment="1">
      <alignment horizontal="center"/>
    </xf>
    <xf numFmtId="0" fontId="20" fillId="0" borderId="0" xfId="2" applyFont="1" applyFill="1" applyAlignment="1" applyProtection="1">
      <alignment horizontal="center"/>
      <protection locked="0"/>
    </xf>
    <xf numFmtId="0" fontId="20" fillId="2" borderId="0" xfId="2" applyFont="1" applyFill="1" applyAlignment="1" applyProtection="1">
      <alignment horizontal="center"/>
      <protection locked="0"/>
    </xf>
    <xf numFmtId="0" fontId="27" fillId="2" borderId="0" xfId="8" applyFill="1" applyAlignment="1">
      <alignment horizontal="center"/>
    </xf>
    <xf numFmtId="164" fontId="20" fillId="0" borderId="0" xfId="2" applyNumberFormat="1" applyFont="1" applyAlignment="1" applyProtection="1">
      <alignment horizontal="left" wrapText="1"/>
    </xf>
    <xf numFmtId="164" fontId="20" fillId="0" borderId="0" xfId="2" applyNumberFormat="1" applyFont="1" applyFill="1" applyAlignment="1">
      <alignment horizontal="left" wrapText="1"/>
      <protection locked="0"/>
    </xf>
    <xf numFmtId="164" fontId="20" fillId="2" borderId="0" xfId="2" applyNumberFormat="1" applyFont="1" applyFill="1" applyAlignment="1">
      <alignment horizontal="left" wrapText="1"/>
      <protection locked="0"/>
    </xf>
    <xf numFmtId="0" fontId="27" fillId="0" borderId="0" xfId="2" applyFill="1">
      <alignment horizontal="center" wrapText="1"/>
      <protection locked="0"/>
    </xf>
    <xf numFmtId="0" fontId="27" fillId="0" borderId="0" xfId="2">
      <alignment horizontal="center" wrapText="1"/>
      <protection locked="0"/>
    </xf>
    <xf numFmtId="0" fontId="24" fillId="2" borderId="0" xfId="8" applyFont="1" applyFill="1" applyAlignment="1">
      <alignment horizontal="center"/>
    </xf>
    <xf numFmtId="0" fontId="12" fillId="2" borderId="0" xfId="0" applyFont="1" applyFill="1" applyBorder="1" applyAlignment="1" applyProtection="1">
      <alignment horizontal="center"/>
    </xf>
    <xf numFmtId="0" fontId="27" fillId="2" borderId="0" xfId="8" applyFill="1"/>
    <xf numFmtId="0" fontId="27" fillId="2" borderId="0" xfId="8" applyFill="1" applyAlignment="1">
      <alignment horizontal="left" wrapText="1"/>
    </xf>
    <xf numFmtId="0" fontId="20" fillId="2" borderId="0" xfId="8" applyFont="1" applyFill="1" applyAlignment="1">
      <alignment wrapText="1"/>
    </xf>
    <xf numFmtId="0" fontId="2" fillId="11" borderId="1" xfId="0" applyFont="1" applyFill="1" applyBorder="1" applyAlignment="1" applyProtection="1">
      <alignment horizontal="center" vertical="center" wrapText="1"/>
      <protection hidden="1"/>
    </xf>
    <xf numFmtId="0" fontId="2" fillId="11" borderId="4" xfId="0" applyFont="1" applyFill="1" applyBorder="1" applyAlignment="1" applyProtection="1">
      <alignment horizontal="center" vertical="center" wrapText="1"/>
      <protection hidden="1"/>
    </xf>
    <xf numFmtId="0" fontId="2" fillId="11" borderId="24" xfId="0" applyFont="1" applyFill="1" applyBorder="1" applyAlignment="1" applyProtection="1">
      <alignment horizontal="center" vertical="center" wrapText="1"/>
      <protection hidden="1"/>
    </xf>
    <xf numFmtId="0" fontId="2" fillId="11" borderId="1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13"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10" borderId="4" xfId="0" applyFont="1" applyFill="1" applyBorder="1" applyAlignment="1" applyProtection="1">
      <alignment horizontal="center" vertical="center" wrapText="1"/>
      <protection hidden="1"/>
    </xf>
    <xf numFmtId="0" fontId="2" fillId="10" borderId="24" xfId="0" applyFont="1" applyFill="1" applyBorder="1" applyAlignment="1" applyProtection="1">
      <alignment horizontal="center" vertical="center" wrapText="1"/>
      <protection hidden="1"/>
    </xf>
    <xf numFmtId="0" fontId="2" fillId="10" borderId="15" xfId="0"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wrapText="1"/>
      <protection hidden="1"/>
    </xf>
    <xf numFmtId="0" fontId="2" fillId="8" borderId="24" xfId="0" applyFont="1" applyFill="1" applyBorder="1" applyAlignment="1" applyProtection="1">
      <alignment horizontal="center" vertical="center" wrapText="1"/>
      <protection hidden="1"/>
    </xf>
    <xf numFmtId="0" fontId="2" fillId="8" borderId="15"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protection hidden="1"/>
    </xf>
    <xf numFmtId="0" fontId="2" fillId="9" borderId="4" xfId="0" applyFont="1" applyFill="1" applyBorder="1" applyAlignment="1" applyProtection="1">
      <alignment horizontal="center" vertical="center" wrapText="1"/>
      <protection hidden="1"/>
    </xf>
    <xf numFmtId="0" fontId="2" fillId="9" borderId="24" xfId="0" applyFont="1" applyFill="1" applyBorder="1" applyAlignment="1" applyProtection="1">
      <alignment horizontal="center" vertical="center" wrapText="1"/>
      <protection hidden="1"/>
    </xf>
    <xf numFmtId="0" fontId="2" fillId="9" borderId="15"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wrapText="1"/>
      <protection hidden="1"/>
    </xf>
    <xf numFmtId="0" fontId="1" fillId="0" borderId="1" xfId="0" applyFont="1" applyBorder="1" applyProtection="1">
      <protection hidden="1"/>
    </xf>
  </cellXfs>
  <cellStyles count="9">
    <cellStyle name="Comma" xfId="1" builtinId="3"/>
    <cellStyle name="data entry" xfId="2"/>
    <cellStyle name="Hyperlinks" xfId="3"/>
    <cellStyle name="Normal" xfId="0" builtinId="0"/>
    <cellStyle name="Percent" xfId="4" builtinId="5"/>
    <cellStyle name="result" xfId="5"/>
    <cellStyle name="result_empty" xfId="6"/>
    <cellStyle name="Section titles" xfId="7"/>
    <cellStyle name="Titles"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Calculator!$M$279</c:f>
          <c:strCache>
            <c:ptCount val="1"/>
            <c:pt idx="0">
              <c:v>: Annual costs -  scenario</c:v>
            </c:pt>
          </c:strCache>
        </c:strRef>
      </c:tx>
      <c:overlay val="0"/>
      <c:spPr>
        <a:noFill/>
        <a:ln w="25400">
          <a:noFill/>
        </a:ln>
      </c:spPr>
      <c:txPr>
        <a:bodyPr/>
        <a:lstStyle/>
        <a:p>
          <a:pPr>
            <a:defRPr b="1"/>
          </a:pPr>
          <a:endParaRPr lang="en-US"/>
        </a:p>
      </c:txPr>
    </c:title>
    <c:autoTitleDeleted val="0"/>
    <c:plotArea>
      <c:layout>
        <c:manualLayout>
          <c:layoutTarget val="inner"/>
          <c:xMode val="edge"/>
          <c:yMode val="edge"/>
          <c:x val="7.874015748031496E-2"/>
          <c:y val="0.12814070351758794"/>
          <c:w val="0.88385826771653542"/>
          <c:h val="0.78643216080402012"/>
        </c:manualLayout>
      </c:layout>
      <c:scatterChart>
        <c:scatterStyle val="lineMarker"/>
        <c:varyColors val="0"/>
        <c:ser>
          <c:idx val="1"/>
          <c:order val="0"/>
          <c:tx>
            <c:v>Compliance with fuel switchover</c:v>
          </c:tx>
          <c:spPr>
            <a:ln w="12700">
              <a:solidFill>
                <a:schemeClr val="tx2"/>
              </a:solidFill>
            </a:ln>
          </c:spPr>
          <c:marker>
            <c:symbol val="none"/>
          </c:marker>
          <c:xVal>
            <c:numRef>
              <c:f>'Hidden calcs1'!$D$2:$Z$2</c:f>
              <c:numCache>
                <c:formatCode>General</c:formatCode>
                <c:ptCount val="2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numCache>
            </c:numRef>
          </c:xVal>
          <c:yVal>
            <c:numRef>
              <c:f>'Hidden calcs1'!$D$145:$Z$145</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0"/>
          <c:order val="1"/>
          <c:tx>
            <c:v>Compliance with EGCS</c:v>
          </c:tx>
          <c:spPr>
            <a:ln w="12700">
              <a:solidFill>
                <a:schemeClr val="accent1"/>
              </a:solidFill>
              <a:prstDash val="solid"/>
            </a:ln>
          </c:spPr>
          <c:marker>
            <c:symbol val="none"/>
          </c:marker>
          <c:xVal>
            <c:numRef>
              <c:f>'Hidden calcs1'!$D$2:$Z$2</c:f>
              <c:numCache>
                <c:formatCode>General</c:formatCode>
                <c:ptCount val="2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numCache>
            </c:numRef>
          </c:xVal>
          <c:yVal>
            <c:numRef>
              <c:f>'Hidden calcs1'!$D$229:$Z$229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2"/>
          <c:order val="2"/>
          <c:tx>
            <c:v>fuel switchover point</c:v>
          </c:tx>
          <c:spPr>
            <a:ln>
              <a:noFill/>
            </a:ln>
          </c:spPr>
          <c:marker>
            <c:symbol val="circle"/>
            <c:size val="6"/>
            <c:spPr>
              <a:solidFill>
                <a:schemeClr val="bg1"/>
              </a:solidFill>
              <a:ln>
                <a:solidFill>
                  <a:schemeClr val="tx2"/>
                </a:solidFill>
              </a:ln>
            </c:spPr>
          </c:marker>
          <c:xVal>
            <c:numRef>
              <c:f>Calculator!$B$307</c:f>
              <c:numCache>
                <c:formatCode>General</c:formatCode>
                <c:ptCount val="1"/>
              </c:numCache>
            </c:numRef>
          </c:xVal>
          <c:yVal>
            <c:numRef>
              <c:f>Calculator!$B$308</c:f>
              <c:numCache>
                <c:formatCode>#,##0</c:formatCode>
                <c:ptCount val="1"/>
                <c:pt idx="0">
                  <c:v>#N/A</c:v>
                </c:pt>
              </c:numCache>
            </c:numRef>
          </c:yVal>
          <c:smooth val="0"/>
        </c:ser>
        <c:ser>
          <c:idx val="3"/>
          <c:order val="3"/>
          <c:tx>
            <c:v>EGCS point</c:v>
          </c:tx>
          <c:spPr>
            <a:ln>
              <a:noFill/>
            </a:ln>
          </c:spPr>
          <c:marker>
            <c:symbol val="circle"/>
            <c:size val="6"/>
            <c:spPr>
              <a:solidFill>
                <a:schemeClr val="bg1"/>
              </a:solidFill>
              <a:ln>
                <a:solidFill>
                  <a:schemeClr val="tx2"/>
                </a:solidFill>
              </a:ln>
            </c:spPr>
          </c:marker>
          <c:xVal>
            <c:numRef>
              <c:f>Calculator!$B$307</c:f>
              <c:numCache>
                <c:formatCode>General</c:formatCode>
                <c:ptCount val="1"/>
              </c:numCache>
            </c:numRef>
          </c:xVal>
          <c:yVal>
            <c:numRef>
              <c:f>Calculator!$B$309</c:f>
              <c:numCache>
                <c:formatCode>#,##0</c:formatCode>
                <c:ptCount val="1"/>
                <c:pt idx="0">
                  <c:v>#N/A</c:v>
                </c:pt>
              </c:numCache>
            </c:numRef>
          </c:yVal>
          <c:smooth val="0"/>
        </c:ser>
        <c:ser>
          <c:idx val="4"/>
          <c:order val="4"/>
          <c:tx>
            <c:v>EGCS=fuel switchover</c:v>
          </c:tx>
          <c:spPr>
            <a:ln>
              <a:noFill/>
            </a:ln>
          </c:spPr>
          <c:marker>
            <c:symbol val="x"/>
            <c:size val="8"/>
            <c:spPr>
              <a:noFill/>
              <a:ln>
                <a:solidFill>
                  <a:schemeClr val="tx2"/>
                </a:solidFill>
              </a:ln>
            </c:spPr>
          </c:marker>
          <c:xVal>
            <c:numRef>
              <c:f>Calculator!$B$304</c:f>
              <c:numCache>
                <c:formatCode>#,##0</c:formatCode>
                <c:ptCount val="1"/>
                <c:pt idx="0">
                  <c:v>0</c:v>
                </c:pt>
              </c:numCache>
            </c:numRef>
          </c:xVal>
          <c:yVal>
            <c:numRef>
              <c:f>Calculator!$C$304</c:f>
              <c:numCache>
                <c:formatCode>#,##0</c:formatCode>
                <c:ptCount val="1"/>
                <c:pt idx="0">
                  <c:v>0</c:v>
                </c:pt>
              </c:numCache>
            </c:numRef>
          </c:yVal>
          <c:smooth val="0"/>
        </c:ser>
        <c:ser>
          <c:idx val="5"/>
          <c:order val="5"/>
          <c:tx>
            <c:v>installation</c:v>
          </c:tx>
          <c:spPr>
            <a:ln>
              <a:noFill/>
            </a:ln>
          </c:spPr>
          <c:marker>
            <c:symbol val="triangle"/>
            <c:size val="7"/>
            <c:spPr>
              <a:noFill/>
              <a:ln>
                <a:solidFill>
                  <a:schemeClr val="tx2"/>
                </a:solidFill>
              </a:ln>
            </c:spPr>
          </c:marker>
          <c:xVal>
            <c:numRef>
              <c:f>Calculator!$G$305</c:f>
              <c:numCache>
                <c:formatCode>#,##0</c:formatCode>
                <c:ptCount val="1"/>
                <c:pt idx="0">
                  <c:v>#N/A</c:v>
                </c:pt>
              </c:numCache>
            </c:numRef>
          </c:xVal>
          <c:yVal>
            <c:numLit>
              <c:formatCode>General</c:formatCode>
              <c:ptCount val="1"/>
              <c:pt idx="0">
                <c:v>0</c:v>
              </c:pt>
            </c:numLit>
          </c:yVal>
          <c:smooth val="0"/>
        </c:ser>
        <c:dLbls>
          <c:showLegendKey val="0"/>
          <c:showVal val="0"/>
          <c:showCatName val="0"/>
          <c:showSerName val="0"/>
          <c:showPercent val="0"/>
          <c:showBubbleSize val="0"/>
        </c:dLbls>
        <c:axId val="124957440"/>
        <c:axId val="124959360"/>
      </c:scatterChart>
      <c:valAx>
        <c:axId val="124957440"/>
        <c:scaling>
          <c:orientation val="minMax"/>
          <c:max val="2035"/>
          <c:min val="2013"/>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24959360"/>
        <c:crosses val="autoZero"/>
        <c:crossBetween val="midCat"/>
        <c:majorUnit val="1"/>
        <c:minorUnit val="0.5"/>
      </c:valAx>
      <c:valAx>
        <c:axId val="124959360"/>
        <c:scaling>
          <c:orientation val="minMax"/>
        </c:scaling>
        <c:delete val="0"/>
        <c:axPos val="l"/>
        <c:title>
          <c:tx>
            <c:rich>
              <a:bodyPr/>
              <a:lstStyle/>
              <a:p>
                <a:pPr>
                  <a:defRPr/>
                </a:pPr>
                <a:r>
                  <a:rPr lang="en-GB"/>
                  <a:t>million USD/year</a:t>
                </a:r>
              </a:p>
            </c:rich>
          </c:tx>
          <c:overlay val="0"/>
          <c:spPr>
            <a:noFill/>
            <a:ln w="25400">
              <a:noFill/>
            </a:ln>
          </c:spPr>
        </c:title>
        <c:numFmt formatCode="#,##0.0" sourceLinked="0"/>
        <c:majorTickMark val="out"/>
        <c:minorTickMark val="none"/>
        <c:tickLblPos val="nextTo"/>
        <c:txPr>
          <a:bodyPr rot="0" vert="horz"/>
          <a:lstStyle/>
          <a:p>
            <a:pPr>
              <a:defRPr/>
            </a:pPr>
            <a:endParaRPr lang="en-US"/>
          </a:p>
        </c:txPr>
        <c:crossAx val="124957440"/>
        <c:crosses val="autoZero"/>
        <c:crossBetween val="midCat"/>
        <c:dispUnits>
          <c:builtInUnit val="millions"/>
        </c:dispUnits>
      </c:valAx>
    </c:plotArea>
    <c:legend>
      <c:legendPos val="r"/>
      <c:legendEntry>
        <c:idx val="2"/>
        <c:delete val="1"/>
      </c:legendEntry>
      <c:legendEntry>
        <c:idx val="3"/>
        <c:delete val="1"/>
      </c:legendEntry>
      <c:layout>
        <c:manualLayout>
          <c:xMode val="edge"/>
          <c:yMode val="edge"/>
          <c:wMode val="edge"/>
          <c:hMode val="edge"/>
          <c:x val="0.68011811023622049"/>
          <c:y val="0.66080402010050254"/>
          <c:w val="0.93503937007874016"/>
          <c:h val="0.84422110552763818"/>
        </c:manualLayout>
      </c:layout>
      <c:overlay val="1"/>
      <c:spPr>
        <a:solidFill>
          <a:schemeClr val="bg1"/>
        </a:solidFill>
      </c:spPr>
    </c:legend>
    <c:plotVisOnly val="1"/>
    <c:dispBlanksAs val="gap"/>
    <c:showDLblsOverMax val="0"/>
  </c:chart>
  <c:txPr>
    <a:bodyPr/>
    <a:lstStyle/>
    <a:p>
      <a:pPr>
        <a:defRPr sz="1000" b="0" i="0" u="none" strike="noStrike" baseline="0">
          <a:solidFill>
            <a:srgbClr val="000000"/>
          </a:solidFill>
          <a:latin typeface="Arial" pitchFamily="34" charset="0"/>
          <a:ea typeface="Frutiger LT 45 Light"/>
          <a:cs typeface="Arial" pitchFamily="34" charset="0"/>
        </a:defRPr>
      </a:pPr>
      <a:endParaRPr lang="en-US"/>
    </a:p>
  </c:txPr>
  <c:printSettings>
    <c:headerFooter/>
    <c:pageMargins b="0.75000000000000566" l="0.70000000000000062" r="0.70000000000000062" t="0.750000000000005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Calculator!$M$280</c:f>
          <c:strCache>
            <c:ptCount val="1"/>
            <c:pt idx="0">
              <c:v>: Fuel switchover option - average costs -  scenario</c:v>
            </c:pt>
          </c:strCache>
        </c:strRef>
      </c:tx>
      <c:overlay val="0"/>
      <c:spPr>
        <a:noFill/>
        <a:ln w="25400">
          <a:noFill/>
        </a:ln>
      </c:spPr>
      <c:txPr>
        <a:bodyPr/>
        <a:lstStyle/>
        <a:p>
          <a:pPr>
            <a:defRPr b="1"/>
          </a:pPr>
          <a:endParaRPr lang="en-US"/>
        </a:p>
      </c:txPr>
    </c:title>
    <c:autoTitleDeleted val="0"/>
    <c:plotArea>
      <c:layout>
        <c:manualLayout>
          <c:layoutTarget val="inner"/>
          <c:xMode val="edge"/>
          <c:yMode val="edge"/>
          <c:x val="8.4656172139728758E-2"/>
          <c:y val="0.14448669201520944"/>
          <c:w val="0.88994800961889653"/>
          <c:h val="0.61977186311787613"/>
        </c:manualLayout>
      </c:layout>
      <c:barChart>
        <c:barDir val="bar"/>
        <c:grouping val="percentStacked"/>
        <c:varyColors val="0"/>
        <c:ser>
          <c:idx val="0"/>
          <c:order val="0"/>
          <c:tx>
            <c:v> Fuel switchover - inside ECA [million USD]</c:v>
          </c:tx>
          <c:spPr>
            <a:solidFill>
              <a:schemeClr val="accent1"/>
            </a:solidFill>
            <a:ln>
              <a:noFill/>
            </a:ln>
          </c:spPr>
          <c:invertIfNegative val="0"/>
          <c:dLbls>
            <c:numFmt formatCode="#,##0.00" sourceLinked="0"/>
            <c:spPr>
              <a:noFill/>
              <a:ln w="25400">
                <a:noFill/>
              </a:ln>
            </c:spPr>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'Hidden calcs1'!$AB$69:$AD$69</c:f>
              <c:strCache>
                <c:ptCount val="3"/>
                <c:pt idx="0">
                  <c:v>Now-2015</c:v>
                </c:pt>
                <c:pt idx="1">
                  <c:v>2015-2020</c:v>
                </c:pt>
                <c:pt idx="2">
                  <c:v>2020-2035</c:v>
                </c:pt>
              </c:strCache>
            </c:strRef>
          </c:cat>
          <c:val>
            <c:numRef>
              <c:f>'Hidden calcs1'!$AB$152:$AD$152</c:f>
              <c:numCache>
                <c:formatCode>#,##0.00</c:formatCode>
                <c:ptCount val="3"/>
                <c:pt idx="0">
                  <c:v>0</c:v>
                </c:pt>
                <c:pt idx="1">
                  <c:v>0</c:v>
                </c:pt>
                <c:pt idx="2">
                  <c:v>0</c:v>
                </c:pt>
              </c:numCache>
            </c:numRef>
          </c:val>
        </c:ser>
        <c:ser>
          <c:idx val="1"/>
          <c:order val="1"/>
          <c:tx>
            <c:v>Fuel switchover - outside ECA [million USD]</c:v>
          </c:tx>
          <c:spPr>
            <a:solidFill>
              <a:schemeClr val="tx2"/>
            </a:solidFill>
            <a:ln>
              <a:noFill/>
            </a:ln>
          </c:spPr>
          <c:invertIfNegative val="0"/>
          <c:dLbls>
            <c:spPr>
              <a:noFill/>
              <a:ln w="25400">
                <a:noFill/>
              </a:ln>
            </c:spPr>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'Hidden calcs1'!$AB$69:$AD$69</c:f>
              <c:strCache>
                <c:ptCount val="3"/>
                <c:pt idx="0">
                  <c:v>Now-2015</c:v>
                </c:pt>
                <c:pt idx="1">
                  <c:v>2015-2020</c:v>
                </c:pt>
                <c:pt idx="2">
                  <c:v>2020-2035</c:v>
                </c:pt>
              </c:strCache>
            </c:strRef>
          </c:cat>
          <c:val>
            <c:numRef>
              <c:f>'Hidden calcs1'!$AB$153:$AD$153</c:f>
              <c:numCache>
                <c:formatCode>#,##0.00</c:formatCode>
                <c:ptCount val="3"/>
                <c:pt idx="0">
                  <c:v>0</c:v>
                </c:pt>
                <c:pt idx="1">
                  <c:v>0</c:v>
                </c:pt>
                <c:pt idx="2">
                  <c:v>0</c:v>
                </c:pt>
              </c:numCache>
            </c:numRef>
          </c:val>
        </c:ser>
        <c:dLbls>
          <c:showLegendKey val="0"/>
          <c:showVal val="1"/>
          <c:showCatName val="0"/>
          <c:showSerName val="0"/>
          <c:showPercent val="0"/>
          <c:showBubbleSize val="0"/>
        </c:dLbls>
        <c:gapWidth val="75"/>
        <c:overlap val="100"/>
        <c:axId val="126583168"/>
        <c:axId val="126584704"/>
      </c:barChart>
      <c:catAx>
        <c:axId val="126583168"/>
        <c:scaling>
          <c:orientation val="minMax"/>
        </c:scaling>
        <c:delete val="0"/>
        <c:axPos val="l"/>
        <c:numFmt formatCode="General" sourceLinked="1"/>
        <c:majorTickMark val="none"/>
        <c:minorTickMark val="none"/>
        <c:tickLblPos val="nextTo"/>
        <c:txPr>
          <a:bodyPr rot="0" vert="horz"/>
          <a:lstStyle/>
          <a:p>
            <a:pPr>
              <a:defRPr/>
            </a:pPr>
            <a:endParaRPr lang="en-US"/>
          </a:p>
        </c:txPr>
        <c:crossAx val="126584704"/>
        <c:crosses val="autoZero"/>
        <c:auto val="1"/>
        <c:lblAlgn val="ctr"/>
        <c:lblOffset val="100"/>
        <c:noMultiLvlLbl val="0"/>
      </c:catAx>
      <c:valAx>
        <c:axId val="126584704"/>
        <c:scaling>
          <c:orientation val="minMax"/>
        </c:scaling>
        <c:delete val="0"/>
        <c:axPos val="b"/>
        <c:numFmt formatCode="0%" sourceLinked="0"/>
        <c:majorTickMark val="out"/>
        <c:minorTickMark val="none"/>
        <c:tickLblPos val="nextTo"/>
        <c:txPr>
          <a:bodyPr rot="0" vert="horz"/>
          <a:lstStyle/>
          <a:p>
            <a:pPr>
              <a:defRPr/>
            </a:pPr>
            <a:endParaRPr lang="en-US"/>
          </a:p>
        </c:txPr>
        <c:crossAx val="126583168"/>
        <c:crosses val="autoZero"/>
        <c:crossBetween val="between"/>
      </c:valAx>
    </c:plotArea>
    <c:legend>
      <c:legendPos val="r"/>
      <c:layout>
        <c:manualLayout>
          <c:xMode val="edge"/>
          <c:yMode val="edge"/>
          <c:wMode val="edge"/>
          <c:hMode val="edge"/>
          <c:x val="0.43067887900443119"/>
          <c:y val="0.88212927756653992"/>
          <c:w val="0.75614624868056679"/>
          <c:h val="0.98859315589353614"/>
        </c:manualLayout>
      </c:layout>
      <c:overlay val="0"/>
    </c:legend>
    <c:plotVisOnly val="1"/>
    <c:dispBlanksAs val="gap"/>
    <c:showDLblsOverMax val="0"/>
  </c:chart>
  <c:txPr>
    <a:bodyPr/>
    <a:lstStyle/>
    <a:p>
      <a:pPr>
        <a:defRPr sz="1000" b="0" i="0" u="none" strike="noStrike" baseline="0">
          <a:solidFill>
            <a:srgbClr val="000000"/>
          </a:solidFill>
          <a:latin typeface="Arial" pitchFamily="34" charset="0"/>
          <a:ea typeface="Calibri"/>
          <a:cs typeface="Arial" pitchFamily="34" charset="0"/>
        </a:defRPr>
      </a:pPr>
      <a:endParaRPr lang="en-US"/>
    </a:p>
  </c:txPr>
  <c:printSettings>
    <c:headerFooter/>
    <c:pageMargins b="0.75000000000000611" l="0.70000000000000062" r="0.70000000000000062" t="0.7500000000000061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Calculator!$M$281</c:f>
          <c:strCache>
            <c:ptCount val="1"/>
            <c:pt idx="0">
              <c:v>#N/A</c:v>
            </c:pt>
          </c:strCache>
        </c:strRef>
      </c:tx>
      <c:overlay val="0"/>
      <c:spPr>
        <a:noFill/>
        <a:ln w="25400">
          <a:noFill/>
        </a:ln>
      </c:spPr>
      <c:txPr>
        <a:bodyPr/>
        <a:lstStyle/>
        <a:p>
          <a:pPr>
            <a:defRPr b="1"/>
          </a:pPr>
          <a:endParaRPr lang="en-US"/>
        </a:p>
      </c:txPr>
    </c:title>
    <c:autoTitleDeleted val="0"/>
    <c:plotArea>
      <c:layout>
        <c:manualLayout>
          <c:layoutTarget val="inner"/>
          <c:xMode val="edge"/>
          <c:yMode val="edge"/>
          <c:x val="9.2459640405911689E-2"/>
          <c:y val="0.12219611892775722"/>
          <c:w val="0.86287826855868321"/>
          <c:h val="0.7810951277039444"/>
        </c:manualLayout>
      </c:layout>
      <c:scatterChart>
        <c:scatterStyle val="lineMarker"/>
        <c:varyColors val="0"/>
        <c:ser>
          <c:idx val="1"/>
          <c:order val="0"/>
          <c:tx>
            <c:v>Discounted (NPV)</c:v>
          </c:tx>
          <c:spPr>
            <a:ln w="12700">
              <a:solidFill>
                <a:schemeClr val="accent1"/>
              </a:solidFill>
            </a:ln>
          </c:spPr>
          <c:marker>
            <c:symbol val="none"/>
          </c:marker>
          <c:xVal>
            <c:numRef>
              <c:f>'Hidden calcs1'!$D$2:$Z$2</c:f>
              <c:numCache>
                <c:formatCode>General</c:formatCode>
                <c:ptCount val="2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numCache>
            </c:numRef>
          </c:xVal>
          <c:yVal>
            <c:numRef>
              <c:f>'Hidden calcs1'!$D$535:$Z$535</c:f>
              <c:numCache>
                <c:formatCode>#,##0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numCache>
            </c:numRef>
          </c:yVal>
          <c:smooth val="0"/>
        </c:ser>
        <c:ser>
          <c:idx val="0"/>
          <c:order val="1"/>
          <c:tx>
            <c:v>Undiscounted</c:v>
          </c:tx>
          <c:spPr>
            <a:ln w="12700">
              <a:solidFill>
                <a:schemeClr val="tx2"/>
              </a:solidFill>
            </a:ln>
          </c:spPr>
          <c:marker>
            <c:symbol val="none"/>
          </c:marker>
          <c:xVal>
            <c:numRef>
              <c:f>'Hidden calcs1'!$D$2:$Z$2</c:f>
              <c:numCache>
                <c:formatCode>General</c:formatCode>
                <c:ptCount val="2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numCache>
            </c:numRef>
          </c:xVal>
          <c:yVal>
            <c:numRef>
              <c:f>'Hidden calcs1'!$D$281:$Z$281</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2"/>
          <c:order val="2"/>
          <c:tx>
            <c:v>ucf_point</c:v>
          </c:tx>
          <c:spPr>
            <a:ln w="12700">
              <a:solidFill>
                <a:schemeClr val="tx2"/>
              </a:solidFill>
            </a:ln>
          </c:spPr>
          <c:marker>
            <c:symbol val="circle"/>
            <c:size val="6"/>
            <c:spPr>
              <a:solidFill>
                <a:schemeClr val="bg1"/>
              </a:solidFill>
              <a:ln>
                <a:solidFill>
                  <a:schemeClr val="tx2"/>
                </a:solidFill>
              </a:ln>
            </c:spPr>
          </c:marker>
          <c:dPt>
            <c:idx val="0"/>
            <c:bubble3D val="0"/>
            <c:spPr>
              <a:ln w="12700">
                <a:noFill/>
              </a:ln>
            </c:spPr>
          </c:dPt>
          <c:dLbls>
            <c:numFmt formatCode="#,##0.0" sourceLinked="0"/>
            <c:spPr>
              <a:noFill/>
              <a:ln w="25400">
                <a:noFill/>
              </a:ln>
            </c:spPr>
            <c:showLegendKey val="0"/>
            <c:showVal val="1"/>
            <c:showCatName val="0"/>
            <c:showSerName val="0"/>
            <c:showPercent val="0"/>
            <c:showBubbleSize val="0"/>
            <c:showLeaderLines val="0"/>
          </c:dLbls>
          <c:xVal>
            <c:numRef>
              <c:f>Calculator!$B$415</c:f>
              <c:numCache>
                <c:formatCode>General</c:formatCode>
                <c:ptCount val="1"/>
              </c:numCache>
            </c:numRef>
          </c:xVal>
          <c:yVal>
            <c:numRef>
              <c:f>Calculator!$B$417</c:f>
              <c:numCache>
                <c:formatCode>#,##0</c:formatCode>
                <c:ptCount val="1"/>
                <c:pt idx="0">
                  <c:v>#N/A</c:v>
                </c:pt>
              </c:numCache>
            </c:numRef>
          </c:yVal>
          <c:smooth val="0"/>
        </c:ser>
        <c:ser>
          <c:idx val="3"/>
          <c:order val="3"/>
          <c:tx>
            <c:v>npv_point</c:v>
          </c:tx>
          <c:spPr>
            <a:ln>
              <a:solidFill>
                <a:srgbClr val="002F5F"/>
              </a:solidFill>
            </a:ln>
          </c:spPr>
          <c:marker>
            <c:symbol val="circle"/>
            <c:size val="6"/>
            <c:spPr>
              <a:solidFill>
                <a:schemeClr val="bg1"/>
              </a:solidFill>
              <a:ln>
                <a:solidFill>
                  <a:schemeClr val="tx2"/>
                </a:solidFill>
              </a:ln>
            </c:spPr>
          </c:marker>
          <c:dLbls>
            <c:numFmt formatCode="#,##0.0" sourceLinked="0"/>
            <c:spPr>
              <a:noFill/>
              <a:ln w="25400">
                <a:noFill/>
              </a:ln>
            </c:spPr>
            <c:showLegendKey val="0"/>
            <c:showVal val="1"/>
            <c:showCatName val="0"/>
            <c:showSerName val="0"/>
            <c:showPercent val="0"/>
            <c:showBubbleSize val="0"/>
            <c:showLeaderLines val="0"/>
          </c:dLbls>
          <c:xVal>
            <c:numRef>
              <c:f>Calculator!$B$415</c:f>
              <c:numCache>
                <c:formatCode>General</c:formatCode>
                <c:ptCount val="1"/>
              </c:numCache>
            </c:numRef>
          </c:xVal>
          <c:yVal>
            <c:numRef>
              <c:f>Calculator!$B$416</c:f>
              <c:numCache>
                <c:formatCode>#,##0</c:formatCode>
                <c:ptCount val="1"/>
                <c:pt idx="0">
                  <c:v>#N/A</c:v>
                </c:pt>
              </c:numCache>
            </c:numRef>
          </c:yVal>
          <c:smooth val="0"/>
        </c:ser>
        <c:ser>
          <c:idx val="4"/>
          <c:order val="4"/>
          <c:tx>
            <c:v>Payback point</c:v>
          </c:tx>
          <c:spPr>
            <a:ln w="22225">
              <a:noFill/>
            </a:ln>
          </c:spPr>
          <c:marker>
            <c:symbol val="x"/>
            <c:size val="8"/>
            <c:spPr>
              <a:noFill/>
              <a:ln>
                <a:solidFill>
                  <a:schemeClr val="tx2"/>
                </a:solidFill>
              </a:ln>
            </c:spPr>
          </c:marker>
          <c:xVal>
            <c:numRef>
              <c:f>Calculator!$C$412</c:f>
              <c:numCache>
                <c:formatCode>#,##0</c:formatCode>
                <c:ptCount val="1"/>
                <c:pt idx="0">
                  <c:v>#N/A</c:v>
                </c:pt>
              </c:numCache>
            </c:numRef>
          </c:xVal>
          <c:yVal>
            <c:numLit>
              <c:formatCode>General</c:formatCode>
              <c:ptCount val="1"/>
              <c:pt idx="0">
                <c:v>0</c:v>
              </c:pt>
            </c:numLit>
          </c:yVal>
          <c:smooth val="0"/>
        </c:ser>
        <c:ser>
          <c:idx val="5"/>
          <c:order val="5"/>
          <c:tx>
            <c:v>installation</c:v>
          </c:tx>
          <c:spPr>
            <a:ln>
              <a:noFill/>
            </a:ln>
          </c:spPr>
          <c:marker>
            <c:symbol val="triangle"/>
            <c:size val="7"/>
            <c:spPr>
              <a:noFill/>
              <a:ln>
                <a:solidFill>
                  <a:schemeClr val="tx2"/>
                </a:solidFill>
              </a:ln>
            </c:spPr>
          </c:marker>
          <c:xVal>
            <c:numRef>
              <c:f>Calculator!$F$412</c:f>
              <c:numCache>
                <c:formatCode>#,##0</c:formatCode>
                <c:ptCount val="1"/>
                <c:pt idx="0">
                  <c:v>#N/A</c:v>
                </c:pt>
              </c:numCache>
            </c:numRef>
          </c:xVal>
          <c:yVal>
            <c:numLit>
              <c:formatCode>General</c:formatCode>
              <c:ptCount val="1"/>
              <c:pt idx="0">
                <c:v>0</c:v>
              </c:pt>
            </c:numLit>
          </c:yVal>
          <c:smooth val="0"/>
        </c:ser>
        <c:dLbls>
          <c:showLegendKey val="0"/>
          <c:showVal val="0"/>
          <c:showCatName val="0"/>
          <c:showSerName val="0"/>
          <c:showPercent val="0"/>
          <c:showBubbleSize val="0"/>
        </c:dLbls>
        <c:axId val="132272896"/>
        <c:axId val="132274816"/>
      </c:scatterChart>
      <c:valAx>
        <c:axId val="132272896"/>
        <c:scaling>
          <c:orientation val="minMax"/>
          <c:max val="2035"/>
          <c:min val="2013"/>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32274816"/>
        <c:crossesAt val="0"/>
        <c:crossBetween val="midCat"/>
        <c:majorUnit val="1"/>
        <c:minorUnit val="0.5"/>
      </c:valAx>
      <c:valAx>
        <c:axId val="132274816"/>
        <c:scaling>
          <c:orientation val="minMax"/>
        </c:scaling>
        <c:delete val="0"/>
        <c:axPos val="l"/>
        <c:title>
          <c:tx>
            <c:rich>
              <a:bodyPr/>
              <a:lstStyle/>
              <a:p>
                <a:pPr>
                  <a:defRPr/>
                </a:pPr>
                <a:r>
                  <a:rPr lang="en-GB"/>
                  <a:t>Value of cashflow (million USD)</a:t>
                </a:r>
              </a:p>
            </c:rich>
          </c:tx>
          <c:overlay val="0"/>
          <c:spPr>
            <a:noFill/>
            <a:ln w="25400">
              <a:noFill/>
            </a:ln>
          </c:spPr>
        </c:title>
        <c:numFmt formatCode="#,##0.0" sourceLinked="0"/>
        <c:majorTickMark val="out"/>
        <c:minorTickMark val="none"/>
        <c:tickLblPos val="nextTo"/>
        <c:txPr>
          <a:bodyPr rot="0" vert="horz"/>
          <a:lstStyle/>
          <a:p>
            <a:pPr>
              <a:defRPr/>
            </a:pPr>
            <a:endParaRPr lang="en-US"/>
          </a:p>
        </c:txPr>
        <c:crossAx val="132272896"/>
        <c:crosses val="autoZero"/>
        <c:crossBetween val="midCat"/>
        <c:dispUnits>
          <c:builtInUnit val="millions"/>
        </c:dispUnits>
      </c:valAx>
    </c:plotArea>
    <c:legend>
      <c:legendPos val="r"/>
      <c:legendEntry>
        <c:idx val="2"/>
        <c:delete val="1"/>
      </c:legendEntry>
      <c:legendEntry>
        <c:idx val="3"/>
        <c:delete val="1"/>
      </c:legendEntry>
      <c:layout>
        <c:manualLayout>
          <c:xMode val="edge"/>
          <c:yMode val="edge"/>
          <c:wMode val="edge"/>
          <c:hMode val="edge"/>
          <c:x val="0.10675808031341821"/>
          <c:y val="0.1464649115830218"/>
          <c:w val="0.32517150341515833"/>
          <c:h val="0.33080887616320687"/>
        </c:manualLayout>
      </c:layout>
      <c:overlay val="1"/>
      <c:spPr>
        <a:solidFill>
          <a:schemeClr val="bg1"/>
        </a:solidFill>
      </c:spPr>
    </c:legend>
    <c:plotVisOnly val="1"/>
    <c:dispBlanksAs val="gap"/>
    <c:showDLblsOverMax val="0"/>
  </c:chart>
  <c:txPr>
    <a:bodyPr/>
    <a:lstStyle/>
    <a:p>
      <a:pPr>
        <a:defRPr sz="1000" b="0" i="0" u="none" strike="noStrike" baseline="0">
          <a:solidFill>
            <a:srgbClr val="000000"/>
          </a:solidFill>
          <a:latin typeface="Arial" pitchFamily="34" charset="0"/>
          <a:ea typeface="Frutiger LT 45 Light"/>
          <a:cs typeface="Arial" pitchFamily="34" charset="0"/>
        </a:defRPr>
      </a:pPr>
      <a:endParaRPr lang="en-US"/>
    </a:p>
  </c:txPr>
  <c:printSettings>
    <c:headerFooter/>
    <c:pageMargins b="1" l="0.75000000000000255" r="0.7500000000000025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Calculator!$M$284</c:f>
          <c:strCache>
            <c:ptCount val="1"/>
            <c:pt idx="0">
              <c:v>: EGCS option - average costs -  scenario</c:v>
            </c:pt>
          </c:strCache>
        </c:strRef>
      </c:tx>
      <c:overlay val="0"/>
      <c:spPr>
        <a:noFill/>
        <a:ln w="25400">
          <a:noFill/>
        </a:ln>
      </c:spPr>
      <c:txPr>
        <a:bodyPr/>
        <a:lstStyle/>
        <a:p>
          <a:pPr>
            <a:defRPr b="1"/>
          </a:pPr>
          <a:endParaRPr lang="en-US"/>
        </a:p>
      </c:txPr>
    </c:title>
    <c:autoTitleDeleted val="0"/>
    <c:plotArea>
      <c:layout>
        <c:manualLayout>
          <c:layoutTarget val="inner"/>
          <c:xMode val="edge"/>
          <c:yMode val="edge"/>
          <c:x val="8.46561721397288E-2"/>
          <c:y val="0.14448669201520944"/>
          <c:w val="0.88994800961889686"/>
          <c:h val="0.61977186311787658"/>
        </c:manualLayout>
      </c:layout>
      <c:barChart>
        <c:barDir val="bar"/>
        <c:grouping val="percentStacked"/>
        <c:varyColors val="0"/>
        <c:ser>
          <c:idx val="0"/>
          <c:order val="0"/>
          <c:tx>
            <c:v> EGCS - inside ECA [million USD]</c:v>
          </c:tx>
          <c:spPr>
            <a:solidFill>
              <a:schemeClr val="accent1"/>
            </a:solidFill>
          </c:spPr>
          <c:invertIfNegative val="0"/>
          <c:dLbls>
            <c:numFmt formatCode="#,##0.00" sourceLinked="0"/>
            <c:spPr>
              <a:noFill/>
              <a:ln w="25400">
                <a:noFill/>
              </a:ln>
            </c:spPr>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'Hidden calcs1'!$AB$69:$AD$69</c:f>
              <c:strCache>
                <c:ptCount val="3"/>
                <c:pt idx="0">
                  <c:v>Now-2015</c:v>
                </c:pt>
                <c:pt idx="1">
                  <c:v>2015-2020</c:v>
                </c:pt>
                <c:pt idx="2">
                  <c:v>2020-2035</c:v>
                </c:pt>
              </c:strCache>
            </c:strRef>
          </c:cat>
          <c:val>
            <c:numRef>
              <c:f>'Hidden calcs1'!$AB$236:$AD$236</c:f>
              <c:numCache>
                <c:formatCode>#,##0.00</c:formatCode>
                <c:ptCount val="3"/>
                <c:pt idx="0">
                  <c:v>0</c:v>
                </c:pt>
                <c:pt idx="1">
                  <c:v>0</c:v>
                </c:pt>
                <c:pt idx="2">
                  <c:v>0</c:v>
                </c:pt>
              </c:numCache>
            </c:numRef>
          </c:val>
        </c:ser>
        <c:ser>
          <c:idx val="1"/>
          <c:order val="1"/>
          <c:tx>
            <c:v>EGCS - outside ECA [million USD]</c:v>
          </c:tx>
          <c:spPr>
            <a:solidFill>
              <a:schemeClr val="tx2"/>
            </a:solidFill>
          </c:spPr>
          <c:invertIfNegative val="0"/>
          <c:dLbls>
            <c:spPr>
              <a:noFill/>
              <a:ln w="25400">
                <a:noFill/>
              </a:ln>
            </c:spPr>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'Hidden calcs1'!$AB$69:$AD$69</c:f>
              <c:strCache>
                <c:ptCount val="3"/>
                <c:pt idx="0">
                  <c:v>Now-2015</c:v>
                </c:pt>
                <c:pt idx="1">
                  <c:v>2015-2020</c:v>
                </c:pt>
                <c:pt idx="2">
                  <c:v>2020-2035</c:v>
                </c:pt>
              </c:strCache>
            </c:strRef>
          </c:cat>
          <c:val>
            <c:numRef>
              <c:f>'Hidden calcs1'!$AB$237:$AD$237</c:f>
              <c:numCache>
                <c:formatCode>#,##0.00</c:formatCode>
                <c:ptCount val="3"/>
                <c:pt idx="0">
                  <c:v>0</c:v>
                </c:pt>
                <c:pt idx="1">
                  <c:v>0</c:v>
                </c:pt>
                <c:pt idx="2">
                  <c:v>0</c:v>
                </c:pt>
              </c:numCache>
            </c:numRef>
          </c:val>
        </c:ser>
        <c:dLbls>
          <c:showLegendKey val="0"/>
          <c:showVal val="1"/>
          <c:showCatName val="0"/>
          <c:showSerName val="0"/>
          <c:showPercent val="0"/>
          <c:showBubbleSize val="0"/>
        </c:dLbls>
        <c:gapWidth val="75"/>
        <c:overlap val="100"/>
        <c:axId val="132313472"/>
        <c:axId val="132315008"/>
      </c:barChart>
      <c:catAx>
        <c:axId val="132313472"/>
        <c:scaling>
          <c:orientation val="minMax"/>
        </c:scaling>
        <c:delete val="0"/>
        <c:axPos val="l"/>
        <c:numFmt formatCode="General" sourceLinked="1"/>
        <c:majorTickMark val="none"/>
        <c:minorTickMark val="none"/>
        <c:tickLblPos val="nextTo"/>
        <c:txPr>
          <a:bodyPr rot="0" vert="horz"/>
          <a:lstStyle/>
          <a:p>
            <a:pPr>
              <a:defRPr/>
            </a:pPr>
            <a:endParaRPr lang="en-US"/>
          </a:p>
        </c:txPr>
        <c:crossAx val="132315008"/>
        <c:crosses val="autoZero"/>
        <c:auto val="1"/>
        <c:lblAlgn val="ctr"/>
        <c:lblOffset val="100"/>
        <c:noMultiLvlLbl val="0"/>
      </c:catAx>
      <c:valAx>
        <c:axId val="132315008"/>
        <c:scaling>
          <c:orientation val="minMax"/>
        </c:scaling>
        <c:delete val="0"/>
        <c:axPos val="b"/>
        <c:numFmt formatCode="0%" sourceLinked="0"/>
        <c:majorTickMark val="out"/>
        <c:minorTickMark val="none"/>
        <c:tickLblPos val="nextTo"/>
        <c:txPr>
          <a:bodyPr rot="0" vert="horz"/>
          <a:lstStyle/>
          <a:p>
            <a:pPr>
              <a:defRPr/>
            </a:pPr>
            <a:endParaRPr lang="en-US"/>
          </a:p>
        </c:txPr>
        <c:crossAx val="132313472"/>
        <c:crosses val="autoZero"/>
        <c:crossBetween val="between"/>
      </c:valAx>
    </c:plotArea>
    <c:legend>
      <c:legendPos val="r"/>
      <c:layout>
        <c:manualLayout>
          <c:xMode val="edge"/>
          <c:yMode val="edge"/>
          <c:wMode val="edge"/>
          <c:hMode val="edge"/>
          <c:x val="0.4316621631735561"/>
          <c:y val="0.88212927756653992"/>
          <c:w val="0.76991222704831519"/>
          <c:h val="0.98859315589353614"/>
        </c:manualLayout>
      </c:layout>
      <c:overlay val="0"/>
    </c:legend>
    <c:plotVisOnly val="1"/>
    <c:dispBlanksAs val="gap"/>
    <c:showDLblsOverMax val="0"/>
  </c:chart>
  <c:txPr>
    <a:bodyPr/>
    <a:lstStyle/>
    <a:p>
      <a:pPr>
        <a:defRPr sz="1000" b="0" i="0" u="none" strike="noStrike" baseline="0">
          <a:solidFill>
            <a:srgbClr val="000000"/>
          </a:solidFill>
          <a:latin typeface="Arial" pitchFamily="34" charset="0"/>
          <a:ea typeface="Calibri"/>
          <a:cs typeface="Arial" pitchFamily="34" charset="0"/>
        </a:defRPr>
      </a:pPr>
      <a:endParaRPr lang="en-US"/>
    </a:p>
  </c:txPr>
  <c:printSettings>
    <c:headerFooter/>
    <c:pageMargins b="0.75000000000000633" l="0.70000000000000062" r="0.70000000000000062" t="0.75000000000000633"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Calculator!$B$432</c:f>
          <c:strCache>
            <c:ptCount val="1"/>
          </c:strCache>
        </c:strRef>
      </c:tx>
      <c:overlay val="0"/>
      <c:spPr>
        <a:noFill/>
        <a:ln w="25400">
          <a:noFill/>
        </a:ln>
      </c:spPr>
      <c:txPr>
        <a:bodyPr/>
        <a:lstStyle/>
        <a:p>
          <a:pPr>
            <a:defRPr b="1"/>
          </a:pPr>
          <a:endParaRPr lang="en-US"/>
        </a:p>
      </c:txPr>
    </c:title>
    <c:autoTitleDeleted val="0"/>
    <c:plotArea>
      <c:layout>
        <c:manualLayout>
          <c:layoutTarget val="inner"/>
          <c:xMode val="edge"/>
          <c:yMode val="edge"/>
          <c:x val="9.0439390593950106E-2"/>
          <c:y val="8.2408938571694984E-2"/>
          <c:w val="0.87338611487871809"/>
          <c:h val="0.81933502387627521"/>
        </c:manualLayout>
      </c:layout>
      <c:scatterChart>
        <c:scatterStyle val="smoothMarker"/>
        <c:varyColors val="0"/>
        <c:ser>
          <c:idx val="1"/>
          <c:order val="0"/>
          <c:tx>
            <c:strRef>
              <c:f>Calculator!$B$432</c:f>
              <c:strCache>
                <c:ptCount val="1"/>
              </c:strCache>
            </c:strRef>
          </c:tx>
          <c:spPr>
            <a:ln>
              <a:solidFill>
                <a:schemeClr val="tx2"/>
              </a:solidFill>
            </a:ln>
          </c:spPr>
          <c:marker>
            <c:symbol val="circle"/>
            <c:size val="7"/>
            <c:spPr>
              <a:solidFill>
                <a:schemeClr val="tx2"/>
              </a:solidFill>
              <a:ln>
                <a:solidFill>
                  <a:schemeClr val="accent1"/>
                </a:solidFill>
              </a:ln>
            </c:spPr>
          </c:marker>
          <c:xVal>
            <c:numRef>
              <c:f>Calculator!$I$433:$I$472</c:f>
              <c:numCache>
                <c:formatCode>0.00</c:formatCode>
                <c:ptCount val="40"/>
              </c:numCache>
            </c:numRef>
          </c:xVal>
          <c:yVal>
            <c:numRef>
              <c:f>Calculator!$J$433:$J$472</c:f>
              <c:numCache>
                <c:formatCode>0.00</c:formatCode>
                <c:ptCount val="40"/>
              </c:numCache>
            </c:numRef>
          </c:yVal>
          <c:smooth val="1"/>
        </c:ser>
        <c:dLbls>
          <c:showLegendKey val="0"/>
          <c:showVal val="0"/>
          <c:showCatName val="0"/>
          <c:showSerName val="0"/>
          <c:showPercent val="0"/>
          <c:showBubbleSize val="0"/>
        </c:dLbls>
        <c:axId val="130977152"/>
        <c:axId val="130992000"/>
      </c:scatterChart>
      <c:valAx>
        <c:axId val="130977152"/>
        <c:scaling>
          <c:orientation val="minMax"/>
        </c:scaling>
        <c:delete val="0"/>
        <c:axPos val="b"/>
        <c:majorGridlines/>
        <c:title>
          <c:tx>
            <c:strRef>
              <c:f>Calculator!$B$433</c:f>
              <c:strCache>
                <c:ptCount val="1"/>
              </c:strCache>
            </c:strRef>
          </c:tx>
          <c:overlay val="0"/>
          <c:spPr>
            <a:noFill/>
            <a:ln w="25400">
              <a:noFill/>
            </a:ln>
          </c:spPr>
        </c:title>
        <c:numFmt formatCode="0.00"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30992000"/>
        <c:crossesAt val="0"/>
        <c:crossBetween val="midCat"/>
      </c:valAx>
      <c:valAx>
        <c:axId val="130992000"/>
        <c:scaling>
          <c:orientation val="minMax"/>
        </c:scaling>
        <c:delete val="0"/>
        <c:axPos val="l"/>
        <c:majorGridlines/>
        <c:title>
          <c:tx>
            <c:strRef>
              <c:f>Calculator!$B$434</c:f>
              <c:strCache>
                <c:ptCount val="1"/>
              </c:strCache>
            </c:strRef>
          </c:tx>
          <c:overlay val="0"/>
          <c:spPr>
            <a:noFill/>
            <a:ln w="25400">
              <a:noFill/>
            </a:ln>
          </c:spPr>
        </c:title>
        <c:numFmt formatCode="#,##0.00" sourceLinked="0"/>
        <c:majorTickMark val="none"/>
        <c:minorTickMark val="none"/>
        <c:tickLblPos val="nextTo"/>
        <c:txPr>
          <a:bodyPr rot="0" vert="horz"/>
          <a:lstStyle/>
          <a:p>
            <a:pPr>
              <a:defRPr/>
            </a:pPr>
            <a:endParaRPr lang="en-US"/>
          </a:p>
        </c:txPr>
        <c:crossAx val="130977152"/>
        <c:crosses val="autoZero"/>
        <c:crossBetween val="midCat"/>
      </c:valAx>
    </c:plotArea>
    <c:plotVisOnly val="1"/>
    <c:dispBlanksAs val="gap"/>
    <c:showDLblsOverMax val="0"/>
  </c:chart>
  <c:txPr>
    <a:bodyPr/>
    <a:lstStyle/>
    <a:p>
      <a:pPr>
        <a:defRPr sz="1000" b="0" i="0" u="none" strike="noStrike" baseline="0">
          <a:solidFill>
            <a:srgbClr val="000000"/>
          </a:solidFill>
          <a:latin typeface="Arial" pitchFamily="34" charset="0"/>
          <a:ea typeface="Frutiger LT 45 Light"/>
          <a:cs typeface="Arial" pitchFamily="34" charset="0"/>
        </a:defRPr>
      </a:pPr>
      <a:endParaRPr lang="en-US"/>
    </a:p>
  </c:txPr>
  <c:printSettings>
    <c:headerFooter/>
    <c:pageMargins b="1" l="0.75000000000000278" r="0.75000000000000278"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Calculator!$M$187</c:f>
          <c:strCache>
            <c:ptCount val="1"/>
            <c:pt idx="0">
              <c:v>Fuel price projections for MDO(DMB) and High scenario</c:v>
            </c:pt>
          </c:strCache>
        </c:strRef>
      </c:tx>
      <c:overlay val="0"/>
      <c:spPr>
        <a:noFill/>
        <a:ln w="25400">
          <a:noFill/>
        </a:ln>
      </c:spPr>
      <c:txPr>
        <a:bodyPr/>
        <a:lstStyle/>
        <a:p>
          <a:pPr>
            <a:defRPr b="1"/>
          </a:pPr>
          <a:endParaRPr lang="en-US"/>
        </a:p>
      </c:txPr>
    </c:title>
    <c:autoTitleDeleted val="0"/>
    <c:plotArea>
      <c:layout>
        <c:manualLayout>
          <c:layoutTarget val="inner"/>
          <c:xMode val="edge"/>
          <c:yMode val="edge"/>
          <c:x val="9.5231609562318228E-2"/>
          <c:y val="0.12219611892775722"/>
          <c:w val="0.86010629648424919"/>
          <c:h val="0.75094448621058041"/>
        </c:manualLayout>
      </c:layout>
      <c:scatterChart>
        <c:scatterStyle val="lineMarker"/>
        <c:varyColors val="0"/>
        <c:ser>
          <c:idx val="1"/>
          <c:order val="0"/>
          <c:tx>
            <c:strRef>
              <c:f>'Hidden calcs1'!$C$52</c:f>
              <c:strCache>
                <c:ptCount val="1"/>
                <c:pt idx="0">
                  <c:v>&lt;=3.50 % S</c:v>
                </c:pt>
              </c:strCache>
            </c:strRef>
          </c:tx>
          <c:spPr>
            <a:ln w="12700">
              <a:solidFill>
                <a:schemeClr val="tx2"/>
              </a:solidFill>
            </a:ln>
          </c:spPr>
          <c:marker>
            <c:symbol val="none"/>
          </c:marker>
          <c:xVal>
            <c:numRef>
              <c:f>'Hidden calcs1'!$D$2:$Z$2</c:f>
              <c:numCache>
                <c:formatCode>General</c:formatCode>
                <c:ptCount val="2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numCache>
            </c:numRef>
          </c:xVal>
          <c:yVal>
            <c:numRef>
              <c:f>'Hidden calcs1'!$D$52:$Z$52</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0"/>
          <c:order val="1"/>
          <c:tx>
            <c:strRef>
              <c:f>'Hidden calcs1'!$C$53</c:f>
              <c:strCache>
                <c:ptCount val="1"/>
                <c:pt idx="0">
                  <c:v>&lt;=1.00 % S</c:v>
                </c:pt>
              </c:strCache>
            </c:strRef>
          </c:tx>
          <c:spPr>
            <a:ln w="19050" cmpd="sng">
              <a:solidFill>
                <a:schemeClr val="tx2"/>
              </a:solidFill>
              <a:prstDash val="dash"/>
            </a:ln>
          </c:spPr>
          <c:marker>
            <c:symbol val="none"/>
          </c:marker>
          <c:xVal>
            <c:numRef>
              <c:f>'Hidden calcs1'!$D$2:$Z$2</c:f>
              <c:numCache>
                <c:formatCode>General</c:formatCode>
                <c:ptCount val="2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numCache>
            </c:numRef>
          </c:xVal>
          <c:yVal>
            <c:numRef>
              <c:f>'Hidden calcs1'!$D$53:$Z$53</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2"/>
          <c:order val="2"/>
          <c:tx>
            <c:strRef>
              <c:f>'Hidden calcs1'!$C$54</c:f>
              <c:strCache>
                <c:ptCount val="1"/>
                <c:pt idx="0">
                  <c:v>&lt;=0.50 % S</c:v>
                </c:pt>
              </c:strCache>
            </c:strRef>
          </c:tx>
          <c:spPr>
            <a:ln w="12700">
              <a:solidFill>
                <a:schemeClr val="accent1"/>
              </a:solidFill>
            </a:ln>
          </c:spPr>
          <c:marker>
            <c:symbol val="none"/>
          </c:marker>
          <c:xVal>
            <c:numRef>
              <c:f>'Hidden calcs1'!$D$2:$Z$2</c:f>
              <c:numCache>
                <c:formatCode>General</c:formatCode>
                <c:ptCount val="2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numCache>
            </c:numRef>
          </c:xVal>
          <c:yVal>
            <c:numRef>
              <c:f>'Hidden calcs1'!$D$54:$Z$54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3"/>
          <c:order val="3"/>
          <c:tx>
            <c:strRef>
              <c:f>'Hidden calcs1'!$C$55</c:f>
              <c:strCache>
                <c:ptCount val="1"/>
                <c:pt idx="0">
                  <c:v>&lt;=0.10 % S</c:v>
                </c:pt>
              </c:strCache>
            </c:strRef>
          </c:tx>
          <c:spPr>
            <a:ln w="19050">
              <a:solidFill>
                <a:schemeClr val="accent1"/>
              </a:solidFill>
              <a:prstDash val="dash"/>
            </a:ln>
          </c:spPr>
          <c:marker>
            <c:symbol val="none"/>
          </c:marker>
          <c:xVal>
            <c:numRef>
              <c:f>'Hidden calcs1'!$D$2:$Z$2</c:f>
              <c:numCache>
                <c:formatCode>General</c:formatCode>
                <c:ptCount val="2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numCache>
            </c:numRef>
          </c:xVal>
          <c:yVal>
            <c:numRef>
              <c:f>'Hidden calcs1'!$D$55:$Z$55</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dLbls>
          <c:showLegendKey val="0"/>
          <c:showVal val="0"/>
          <c:showCatName val="0"/>
          <c:showSerName val="0"/>
          <c:showPercent val="0"/>
          <c:showBubbleSize val="0"/>
        </c:dLbls>
        <c:axId val="131043328"/>
        <c:axId val="131044864"/>
      </c:scatterChart>
      <c:valAx>
        <c:axId val="131043328"/>
        <c:scaling>
          <c:orientation val="minMax"/>
          <c:max val="2035"/>
          <c:min val="2013"/>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31044864"/>
        <c:crosses val="autoZero"/>
        <c:crossBetween val="midCat"/>
        <c:majorUnit val="1"/>
        <c:minorUnit val="0.5"/>
      </c:valAx>
      <c:valAx>
        <c:axId val="131044864"/>
        <c:scaling>
          <c:orientation val="minMax"/>
        </c:scaling>
        <c:delete val="0"/>
        <c:axPos val="l"/>
        <c:title>
          <c:tx>
            <c:rich>
              <a:bodyPr/>
              <a:lstStyle/>
              <a:p>
                <a:pPr>
                  <a:defRPr/>
                </a:pPr>
                <a:r>
                  <a:rPr lang="en-GB"/>
                  <a:t>fuel price [USD/t]</a:t>
                </a:r>
              </a:p>
            </c:rich>
          </c:tx>
          <c:overlay val="0"/>
          <c:spPr>
            <a:noFill/>
            <a:ln w="25400">
              <a:noFill/>
            </a:ln>
          </c:spPr>
        </c:title>
        <c:numFmt formatCode="#,##0" sourceLinked="0"/>
        <c:majorTickMark val="out"/>
        <c:minorTickMark val="none"/>
        <c:tickLblPos val="nextTo"/>
        <c:txPr>
          <a:bodyPr rot="0" vert="horz"/>
          <a:lstStyle/>
          <a:p>
            <a:pPr>
              <a:defRPr/>
            </a:pPr>
            <a:endParaRPr lang="en-US"/>
          </a:p>
        </c:txPr>
        <c:crossAx val="131043328"/>
        <c:crosses val="autoZero"/>
        <c:crossBetween val="midCat"/>
      </c:valAx>
    </c:plotArea>
    <c:legend>
      <c:legendPos val="r"/>
      <c:layout>
        <c:manualLayout>
          <c:xMode val="edge"/>
          <c:yMode val="edge"/>
          <c:x val="0.82196850393700782"/>
          <c:y val="0.61845493562231757"/>
          <c:w val="0.12440944881889759"/>
          <c:h val="0.22865308145494689"/>
        </c:manualLayout>
      </c:layout>
      <c:overlay val="1"/>
      <c:spPr>
        <a:solidFill>
          <a:schemeClr val="bg1"/>
        </a:solidFill>
      </c:spPr>
    </c:legend>
    <c:plotVisOnly val="1"/>
    <c:dispBlanksAs val="gap"/>
    <c:showDLblsOverMax val="0"/>
  </c:chart>
  <c:txPr>
    <a:bodyPr/>
    <a:lstStyle/>
    <a:p>
      <a:pPr>
        <a:defRPr sz="1000" b="0" i="0" u="none" strike="noStrike" baseline="0">
          <a:solidFill>
            <a:srgbClr val="000000"/>
          </a:solidFill>
          <a:latin typeface="Arial" pitchFamily="34" charset="0"/>
          <a:ea typeface="Frutiger LT 45 Light"/>
          <a:cs typeface="Arial" pitchFamily="34" charset="0"/>
        </a:defRPr>
      </a:pPr>
      <a:endParaRPr lang="en-US"/>
    </a:p>
  </c:txPr>
  <c:printSettings>
    <c:headerFooter/>
    <c:pageMargins b="0.75000000000000588" l="0.70000000000000062" r="0.70000000000000062" t="0.750000000000005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66675</xdr:colOff>
      <xdr:row>62</xdr:row>
      <xdr:rowOff>104776</xdr:rowOff>
    </xdr:from>
    <xdr:to>
      <xdr:col>10</xdr:col>
      <xdr:colOff>723900</xdr:colOff>
      <xdr:row>65</xdr:row>
      <xdr:rowOff>38100</xdr:rowOff>
    </xdr:to>
    <xdr:sp macro="" textlink="">
      <xdr:nvSpPr>
        <xdr:cNvPr id="15" name="Text Box 98"/>
        <xdr:cNvSpPr txBox="1">
          <a:spLocks noChangeArrowheads="1"/>
        </xdr:cNvSpPr>
      </xdr:nvSpPr>
      <xdr:spPr bwMode="auto">
        <a:xfrm>
          <a:off x="66675" y="10363201"/>
          <a:ext cx="9953625" cy="419099"/>
        </a:xfrm>
        <a:prstGeom prst="rect">
          <a:avLst/>
        </a:prstGeom>
        <a:noFill/>
        <a:ln w="9525">
          <a:noFill/>
          <a:miter lim="800000"/>
          <a:headEnd/>
          <a:tailEnd/>
        </a:ln>
      </xdr:spPr>
      <xdr:txBody>
        <a:bodyPr vertOverflow="clip" wrap="square" lIns="0" tIns="22860" rIns="27432" bIns="0" anchor="t" upright="1"/>
        <a:lstStyle/>
        <a:p>
          <a:pPr algn="l" rtl="1">
            <a:defRPr sz="1000"/>
          </a:pPr>
          <a:r>
            <a:rPr lang="en-GB" sz="800" b="0" i="0" strike="noStrike">
              <a:solidFill>
                <a:schemeClr val="tx2"/>
              </a:solidFill>
              <a:latin typeface="Arial" pitchFamily="34" charset="0"/>
              <a:cs typeface="Arial" pitchFamily="34" charset="0"/>
            </a:rPr>
            <a:t>Lloyd’s Register, its affiliates and subsidiaries and their respective officers, employees or agents are, individually and collectively, referred to in this clause as the ‘Lloyd’s Register Group’. The Lloyd’s Register Group assumes no responsibility and shall not be liable to any person for any loss, damage or expense caused by reliance on the information or advice in this document or howsoever provided, unless that person has signed a contract with the relevant Lloyd’s Register Group entity for the provision of this information or advice and in that case any responsibility or liability is exclusively on the terms and conditions set out in that contract.</a:t>
          </a:r>
        </a:p>
      </xdr:txBody>
    </xdr:sp>
    <xdr:clientData/>
  </xdr:twoCellAnchor>
  <xdr:twoCellAnchor editAs="oneCell">
    <xdr:from>
      <xdr:col>0</xdr:col>
      <xdr:colOff>2162175</xdr:colOff>
      <xdr:row>14</xdr:row>
      <xdr:rowOff>47625</xdr:rowOff>
    </xdr:from>
    <xdr:to>
      <xdr:col>7</xdr:col>
      <xdr:colOff>695325</xdr:colOff>
      <xdr:row>42</xdr:row>
      <xdr:rowOff>95250</xdr:rowOff>
    </xdr:to>
    <xdr:pic>
      <xdr:nvPicPr>
        <xdr:cNvPr id="1353367" name="Picture 13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2505075"/>
          <a:ext cx="5486400" cy="458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571500</xdr:colOff>
      <xdr:row>2</xdr:row>
      <xdr:rowOff>0</xdr:rowOff>
    </xdr:from>
    <xdr:to>
      <xdr:col>5</xdr:col>
      <xdr:colOff>57150</xdr:colOff>
      <xdr:row>5</xdr:row>
      <xdr:rowOff>104775</xdr:rowOff>
    </xdr:to>
    <xdr:pic>
      <xdr:nvPicPr>
        <xdr:cNvPr id="1353370"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323850"/>
          <a:ext cx="1828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609600</xdr:colOff>
      <xdr:row>1</xdr:row>
      <xdr:rowOff>133350</xdr:rowOff>
    </xdr:from>
    <xdr:to>
      <xdr:col>10</xdr:col>
      <xdr:colOff>684741</xdr:colOff>
      <xdr:row>5</xdr:row>
      <xdr:rowOff>82550</xdr:rowOff>
    </xdr:to>
    <xdr:sp macro="" textlink="">
      <xdr:nvSpPr>
        <xdr:cNvPr id="7" name="Text Box 98"/>
        <xdr:cNvSpPr txBox="1">
          <a:spLocks noChangeArrowheads="1"/>
        </xdr:cNvSpPr>
      </xdr:nvSpPr>
      <xdr:spPr bwMode="auto">
        <a:xfrm>
          <a:off x="6781800" y="295275"/>
          <a:ext cx="3199341" cy="596900"/>
        </a:xfrm>
        <a:prstGeom prst="rect">
          <a:avLst/>
        </a:prstGeom>
        <a:noFill/>
        <a:ln w="9525">
          <a:noFill/>
          <a:miter lim="800000"/>
          <a:headEnd/>
          <a:tailEnd/>
        </a:ln>
      </xdr:spPr>
      <xdr:txBody>
        <a:bodyPr vertOverflow="clip" wrap="square" lIns="0" tIns="22860" rIns="27432" bIns="0" anchor="t" upright="1"/>
        <a:lstStyle/>
        <a:p>
          <a:pPr algn="r" rtl="1">
            <a:defRPr sz="1000"/>
          </a:pPr>
          <a:r>
            <a:rPr lang="en-GB" sz="1000" b="0" i="0" strike="noStrike">
              <a:solidFill>
                <a:schemeClr val="tx2"/>
              </a:solidFill>
              <a:latin typeface="Arial" pitchFamily="34" charset="0"/>
              <a:cs typeface="Arial" pitchFamily="34" charset="0"/>
            </a:rPr>
            <a:t>Version number: 2.1</a:t>
          </a:r>
        </a:p>
        <a:p>
          <a:pPr algn="r" rtl="1">
            <a:defRPr sz="1000"/>
          </a:pPr>
          <a:r>
            <a:rPr lang="en-GB" sz="1000" b="0" i="0" strike="noStrike">
              <a:solidFill>
                <a:schemeClr val="tx2"/>
              </a:solidFill>
              <a:latin typeface="Arial" pitchFamily="34" charset="0"/>
              <a:cs typeface="Arial" pitchFamily="34" charset="0"/>
            </a:rPr>
            <a:t>Release date: December</a:t>
          </a:r>
          <a:r>
            <a:rPr lang="en-GB" sz="1000" b="0" i="0" strike="noStrike" baseline="0">
              <a:solidFill>
                <a:schemeClr val="tx2"/>
              </a:solidFill>
              <a:latin typeface="Arial" pitchFamily="34" charset="0"/>
              <a:cs typeface="Arial" pitchFamily="34" charset="0"/>
            </a:rPr>
            <a:t> 2014</a:t>
          </a:r>
          <a:endParaRPr lang="en-GB" sz="1000" b="0" i="0" strike="noStrike">
            <a:solidFill>
              <a:schemeClr val="tx2"/>
            </a:solidFill>
            <a:latin typeface="Arial" pitchFamily="34" charset="0"/>
            <a:cs typeface="Arial" pitchFamily="34" charset="0"/>
          </a:endParaRPr>
        </a:p>
        <a:p>
          <a:pPr algn="r" rtl="1">
            <a:defRPr sz="1000"/>
          </a:pPr>
          <a:r>
            <a:rPr lang="en-GB" sz="1000" b="0" i="0" strike="noStrike" baseline="0">
              <a:solidFill>
                <a:schemeClr val="tx2"/>
              </a:solidFill>
              <a:latin typeface="Arial" pitchFamily="34" charset="0"/>
              <a:cs typeface="Arial" pitchFamily="34" charset="0"/>
            </a:rPr>
            <a:t> © </a:t>
          </a:r>
          <a:r>
            <a:rPr lang="en-GB" sz="1000" b="0" i="0" strike="noStrike">
              <a:solidFill>
                <a:schemeClr val="tx2"/>
              </a:solidFill>
              <a:latin typeface="Arial" pitchFamily="34" charset="0"/>
              <a:cs typeface="Arial" pitchFamily="34" charset="0"/>
            </a:rPr>
            <a:t>Lloyd's</a:t>
          </a:r>
          <a:r>
            <a:rPr lang="en-GB" sz="1000" b="0" i="0" strike="noStrike" baseline="0">
              <a:solidFill>
                <a:schemeClr val="tx2"/>
              </a:solidFill>
              <a:latin typeface="Arial" pitchFamily="34" charset="0"/>
              <a:cs typeface="Arial" pitchFamily="34" charset="0"/>
            </a:rPr>
            <a:t> Register 2014</a:t>
          </a:r>
          <a:endParaRPr lang="en-GB" sz="1000" b="0" i="0" strike="noStrike">
            <a:solidFill>
              <a:schemeClr val="tx2"/>
            </a:solidFill>
            <a:latin typeface="Arial" pitchFamily="34" charset="0"/>
            <a:cs typeface="Arial" pitchFamily="34" charset="0"/>
          </a:endParaRPr>
        </a:p>
        <a:p>
          <a:pPr algn="r" rtl="1">
            <a:defRPr sz="1000"/>
          </a:pPr>
          <a:endParaRPr lang="en-GB" sz="1000" b="0" i="0" strike="noStrike">
            <a:solidFill>
              <a:schemeClr val="tx2"/>
            </a:solidFill>
            <a:latin typeface="Arial" pitchFamily="34" charset="0"/>
            <a:cs typeface="Arial" pitchFamily="34" charset="0"/>
          </a:endParaRPr>
        </a:p>
      </xdr:txBody>
    </xdr:sp>
    <xdr:clientData/>
  </xdr:twoCellAnchor>
  <xdr:twoCellAnchor editAs="oneCell">
    <xdr:from>
      <xdr:col>0</xdr:col>
      <xdr:colOff>9525</xdr:colOff>
      <xdr:row>0</xdr:row>
      <xdr:rowOff>9525</xdr:rowOff>
    </xdr:from>
    <xdr:to>
      <xdr:col>0</xdr:col>
      <xdr:colOff>2181225</xdr:colOff>
      <xdr:row>6</xdr:row>
      <xdr:rowOff>33038</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9525"/>
          <a:ext cx="2171700" cy="995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614892</xdr:colOff>
      <xdr:row>1</xdr:row>
      <xdr:rowOff>129117</xdr:rowOff>
    </xdr:from>
    <xdr:to>
      <xdr:col>10</xdr:col>
      <xdr:colOff>681567</xdr:colOff>
      <xdr:row>5</xdr:row>
      <xdr:rowOff>91017</xdr:rowOff>
    </xdr:to>
    <xdr:sp macro="" textlink="">
      <xdr:nvSpPr>
        <xdr:cNvPr id="7" name="Text Box 98"/>
        <xdr:cNvSpPr txBox="1">
          <a:spLocks noChangeArrowheads="1"/>
        </xdr:cNvSpPr>
      </xdr:nvSpPr>
      <xdr:spPr bwMode="auto">
        <a:xfrm>
          <a:off x="6795559" y="287867"/>
          <a:ext cx="3199341" cy="596900"/>
        </a:xfrm>
        <a:prstGeom prst="rect">
          <a:avLst/>
        </a:prstGeom>
        <a:noFill/>
        <a:ln w="9525">
          <a:noFill/>
          <a:miter lim="800000"/>
          <a:headEnd/>
          <a:tailEnd/>
        </a:ln>
      </xdr:spPr>
      <xdr:txBody>
        <a:bodyPr vertOverflow="clip" wrap="square" lIns="0" tIns="22860" rIns="27432" bIns="0" anchor="t" upright="1"/>
        <a:lstStyle/>
        <a:p>
          <a:pPr algn="r" rtl="1">
            <a:defRPr sz="1000"/>
          </a:pPr>
          <a:r>
            <a:rPr lang="en-GB" sz="1000" b="0" i="0" strike="noStrike">
              <a:solidFill>
                <a:schemeClr val="tx2"/>
              </a:solidFill>
              <a:latin typeface="Arial" pitchFamily="34" charset="0"/>
              <a:cs typeface="Arial" pitchFamily="34" charset="0"/>
            </a:rPr>
            <a:t>Version number: 2.1</a:t>
          </a:r>
        </a:p>
        <a:p>
          <a:pPr algn="r" rtl="1">
            <a:defRPr sz="1000"/>
          </a:pPr>
          <a:r>
            <a:rPr lang="en-GB" sz="1000" b="0" i="0" strike="noStrike">
              <a:solidFill>
                <a:schemeClr val="tx2"/>
              </a:solidFill>
              <a:latin typeface="Arial" pitchFamily="34" charset="0"/>
              <a:cs typeface="Arial" pitchFamily="34" charset="0"/>
            </a:rPr>
            <a:t>Release date: December</a:t>
          </a:r>
          <a:r>
            <a:rPr lang="en-GB" sz="1000" b="0" i="0" strike="noStrike" baseline="0">
              <a:solidFill>
                <a:schemeClr val="tx2"/>
              </a:solidFill>
              <a:latin typeface="Arial" pitchFamily="34" charset="0"/>
              <a:cs typeface="Arial" pitchFamily="34" charset="0"/>
            </a:rPr>
            <a:t> 2014</a:t>
          </a:r>
          <a:endParaRPr lang="en-GB" sz="1000" b="0" i="0" strike="noStrike">
            <a:solidFill>
              <a:schemeClr val="tx2"/>
            </a:solidFill>
            <a:latin typeface="Arial" pitchFamily="34" charset="0"/>
            <a:cs typeface="Arial" pitchFamily="34" charset="0"/>
          </a:endParaRPr>
        </a:p>
        <a:p>
          <a:pPr algn="r" rtl="1">
            <a:defRPr sz="1000"/>
          </a:pPr>
          <a:r>
            <a:rPr lang="en-GB" sz="1000" b="0" i="0" strike="noStrike" baseline="0">
              <a:solidFill>
                <a:schemeClr val="tx2"/>
              </a:solidFill>
              <a:latin typeface="Arial" pitchFamily="34" charset="0"/>
              <a:cs typeface="Arial" pitchFamily="34" charset="0"/>
            </a:rPr>
            <a:t> © </a:t>
          </a:r>
          <a:r>
            <a:rPr lang="en-GB" sz="1000" b="0" i="0" strike="noStrike">
              <a:solidFill>
                <a:schemeClr val="tx2"/>
              </a:solidFill>
              <a:latin typeface="Arial" pitchFamily="34" charset="0"/>
              <a:cs typeface="Arial" pitchFamily="34" charset="0"/>
            </a:rPr>
            <a:t>Lloyd's</a:t>
          </a:r>
          <a:r>
            <a:rPr lang="en-GB" sz="1000" b="0" i="0" strike="noStrike" baseline="0">
              <a:solidFill>
                <a:schemeClr val="tx2"/>
              </a:solidFill>
              <a:latin typeface="Arial" pitchFamily="34" charset="0"/>
              <a:cs typeface="Arial" pitchFamily="34" charset="0"/>
            </a:rPr>
            <a:t> Register 2014</a:t>
          </a:r>
          <a:endParaRPr lang="en-GB" sz="1000" b="0" i="0" strike="noStrike">
            <a:solidFill>
              <a:schemeClr val="tx2"/>
            </a:solidFill>
            <a:latin typeface="Arial" pitchFamily="34" charset="0"/>
            <a:cs typeface="Arial" pitchFamily="34" charset="0"/>
          </a:endParaRPr>
        </a:p>
        <a:p>
          <a:pPr algn="r" rtl="1">
            <a:defRPr sz="1000"/>
          </a:pPr>
          <a:endParaRPr lang="en-GB" sz="1000" b="0" i="0" strike="noStrike">
            <a:solidFill>
              <a:schemeClr val="tx2"/>
            </a:solidFill>
            <a:latin typeface="Arial" pitchFamily="34" charset="0"/>
            <a:cs typeface="Arial" pitchFamily="34" charset="0"/>
          </a:endParaRPr>
        </a:p>
      </xdr:txBody>
    </xdr:sp>
    <xdr:clientData/>
  </xdr:twoCellAnchor>
  <xdr:twoCellAnchor>
    <xdr:from>
      <xdr:col>0</xdr:col>
      <xdr:colOff>57150</xdr:colOff>
      <xdr:row>277</xdr:row>
      <xdr:rowOff>38100</xdr:rowOff>
    </xdr:from>
    <xdr:to>
      <xdr:col>10</xdr:col>
      <xdr:colOff>438150</xdr:colOff>
      <xdr:row>300</xdr:row>
      <xdr:rowOff>104775</xdr:rowOff>
    </xdr:to>
    <xdr:graphicFrame macro="">
      <xdr:nvGraphicFramePr>
        <xdr:cNvPr id="176096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311</xdr:row>
      <xdr:rowOff>57150</xdr:rowOff>
    </xdr:from>
    <xdr:to>
      <xdr:col>10</xdr:col>
      <xdr:colOff>485775</xdr:colOff>
      <xdr:row>326</xdr:row>
      <xdr:rowOff>133350</xdr:rowOff>
    </xdr:to>
    <xdr:graphicFrame macro="">
      <xdr:nvGraphicFramePr>
        <xdr:cNvPr id="1760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384</xdr:row>
      <xdr:rowOff>104775</xdr:rowOff>
    </xdr:from>
    <xdr:to>
      <xdr:col>10</xdr:col>
      <xdr:colOff>438150</xdr:colOff>
      <xdr:row>407</xdr:row>
      <xdr:rowOff>152400</xdr:rowOff>
    </xdr:to>
    <xdr:graphicFrame macro="">
      <xdr:nvGraphicFramePr>
        <xdr:cNvPr id="176096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327</xdr:row>
      <xdr:rowOff>38100</xdr:rowOff>
    </xdr:from>
    <xdr:to>
      <xdr:col>10</xdr:col>
      <xdr:colOff>485775</xdr:colOff>
      <xdr:row>342</xdr:row>
      <xdr:rowOff>114300</xdr:rowOff>
    </xdr:to>
    <xdr:graphicFrame macro="">
      <xdr:nvGraphicFramePr>
        <xdr:cNvPr id="17609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434</xdr:row>
      <xdr:rowOff>114300</xdr:rowOff>
    </xdr:from>
    <xdr:to>
      <xdr:col>7</xdr:col>
      <xdr:colOff>466725</xdr:colOff>
      <xdr:row>471</xdr:row>
      <xdr:rowOff>133350</xdr:rowOff>
    </xdr:to>
    <xdr:graphicFrame macro="">
      <xdr:nvGraphicFramePr>
        <xdr:cNvPr id="176096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xdr:col>
      <xdr:colOff>571500</xdr:colOff>
      <xdr:row>2</xdr:row>
      <xdr:rowOff>0</xdr:rowOff>
    </xdr:from>
    <xdr:to>
      <xdr:col>5</xdr:col>
      <xdr:colOff>57150</xdr:colOff>
      <xdr:row>5</xdr:row>
      <xdr:rowOff>104775</xdr:rowOff>
    </xdr:to>
    <xdr:pic>
      <xdr:nvPicPr>
        <xdr:cNvPr id="1760968" name="Picture 1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19500" y="323850"/>
          <a:ext cx="1828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482</xdr:row>
      <xdr:rowOff>152400</xdr:rowOff>
    </xdr:from>
    <xdr:to>
      <xdr:col>10</xdr:col>
      <xdr:colOff>504825</xdr:colOff>
      <xdr:row>486</xdr:row>
      <xdr:rowOff>76200</xdr:rowOff>
    </xdr:to>
    <xdr:sp macro="" textlink="">
      <xdr:nvSpPr>
        <xdr:cNvPr id="11" name="Text Box 98"/>
        <xdr:cNvSpPr txBox="1">
          <a:spLocks noChangeArrowheads="1"/>
        </xdr:cNvSpPr>
      </xdr:nvSpPr>
      <xdr:spPr bwMode="auto">
        <a:xfrm>
          <a:off x="57150" y="66427350"/>
          <a:ext cx="9229725" cy="571500"/>
        </a:xfrm>
        <a:prstGeom prst="rect">
          <a:avLst/>
        </a:prstGeom>
        <a:noFill/>
        <a:ln w="9525">
          <a:noFill/>
          <a:miter lim="800000"/>
          <a:headEnd/>
          <a:tailEnd/>
        </a:ln>
      </xdr:spPr>
      <xdr:txBody>
        <a:bodyPr vertOverflow="clip" wrap="square" lIns="0" tIns="22860" rIns="27432" bIns="0" anchor="t" upright="1"/>
        <a:lstStyle/>
        <a:p>
          <a:pPr algn="l" rtl="1">
            <a:defRPr sz="1000"/>
          </a:pPr>
          <a:r>
            <a:rPr lang="en-GB" sz="800" b="0" i="0" strike="noStrike">
              <a:solidFill>
                <a:schemeClr val="tx2"/>
              </a:solidFill>
              <a:latin typeface="Arial" pitchFamily="34" charset="0"/>
              <a:cs typeface="Arial" pitchFamily="34" charset="0"/>
            </a:rPr>
            <a:t>Lloyd’s Register, its affiliates and subsidiaries and their respective officers, employees or agents are, individually and collectively, referred to in this clause as the ‘Lloyd’s Register Group’. The Lloyd’s Register Group assumes no responsibility and shall not be liable to any person for any loss, damage or expense caused by reliance on the information or advice in this document or howsoever provided, unless that person has signed a contract with the relevant Lloyd’s Register Group entity for the provision of this information or advice and in that case any responsibility or liability is exclusively on the terms and conditions set out in that contract.</a:t>
          </a:r>
        </a:p>
      </xdr:txBody>
    </xdr:sp>
    <xdr:clientData/>
  </xdr:twoCellAnchor>
  <xdr:twoCellAnchor>
    <xdr:from>
      <xdr:col>12</xdr:col>
      <xdr:colOff>219075</xdr:colOff>
      <xdr:row>158</xdr:row>
      <xdr:rowOff>9525</xdr:rowOff>
    </xdr:from>
    <xdr:to>
      <xdr:col>23</xdr:col>
      <xdr:colOff>142875</xdr:colOff>
      <xdr:row>184</xdr:row>
      <xdr:rowOff>123825</xdr:rowOff>
    </xdr:to>
    <xdr:graphicFrame macro="">
      <xdr:nvGraphicFramePr>
        <xdr:cNvPr id="17609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10584</xdr:colOff>
      <xdr:row>0</xdr:row>
      <xdr:rowOff>10586</xdr:rowOff>
    </xdr:from>
    <xdr:to>
      <xdr:col>0</xdr:col>
      <xdr:colOff>2182284</xdr:colOff>
      <xdr:row>6</xdr:row>
      <xdr:rowOff>34099</xdr:rowOff>
    </xdr:to>
    <xdr:pic>
      <xdr:nvPicPr>
        <xdr:cNvPr id="12" name="Picture 1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584" y="10586"/>
          <a:ext cx="2171700" cy="9950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519</xdr:row>
      <xdr:rowOff>0</xdr:rowOff>
    </xdr:from>
    <xdr:to>
      <xdr:col>6</xdr:col>
      <xdr:colOff>323850</xdr:colOff>
      <xdr:row>522</xdr:row>
      <xdr:rowOff>95250</xdr:rowOff>
    </xdr:to>
    <xdr:pic>
      <xdr:nvPicPr>
        <xdr:cNvPr id="211049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4450" y="84429600"/>
          <a:ext cx="1828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0</xdr:rowOff>
    </xdr:from>
    <xdr:to>
      <xdr:col>0</xdr:col>
      <xdr:colOff>666750</xdr:colOff>
      <xdr:row>0</xdr:row>
      <xdr:rowOff>314325</xdr:rowOff>
    </xdr:to>
    <xdr:pic>
      <xdr:nvPicPr>
        <xdr:cNvPr id="2110491" name="Picture 68" descr="LR_A4_nostrap_rgb_300dp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0"/>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1000125</xdr:colOff>
      <xdr:row>0</xdr:row>
      <xdr:rowOff>28575</xdr:rowOff>
    </xdr:from>
    <xdr:to>
      <xdr:col>1</xdr:col>
      <xdr:colOff>495300</xdr:colOff>
      <xdr:row>0</xdr:row>
      <xdr:rowOff>285750</xdr:rowOff>
    </xdr:to>
    <xdr:pic>
      <xdr:nvPicPr>
        <xdr:cNvPr id="2110492"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0125" y="28575"/>
          <a:ext cx="790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LR">
      <a:dk1>
        <a:sysClr val="windowText" lastClr="000000"/>
      </a:dk1>
      <a:lt1>
        <a:sysClr val="window" lastClr="FFFFFF"/>
      </a:lt1>
      <a:dk2>
        <a:srgbClr val="002F5F"/>
      </a:dk2>
      <a:lt2>
        <a:srgbClr val="DBDCDD"/>
      </a:lt2>
      <a:accent1>
        <a:srgbClr val="E05206"/>
      </a:accent1>
      <a:accent2>
        <a:srgbClr val="D5C833"/>
      </a:accent2>
      <a:accent3>
        <a:srgbClr val="92D400"/>
      </a:accent3>
      <a:accent4>
        <a:srgbClr val="1E9D8B"/>
      </a:accent4>
      <a:accent5>
        <a:srgbClr val="AB8AB8"/>
      </a:accent5>
      <a:accent6>
        <a:srgbClr val="4D4F5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7"/>
  <sheetViews>
    <sheetView zoomScaleNormal="100" workbookViewId="0">
      <selection sqref="A1:XFD7"/>
    </sheetView>
  </sheetViews>
  <sheetFormatPr defaultRowHeight="12.75" x14ac:dyDescent="0.2"/>
  <cols>
    <col min="1" max="1" width="34" customWidth="1"/>
    <col min="2" max="11" width="11.7109375" customWidth="1"/>
  </cols>
  <sheetData>
    <row r="1" spans="1:30" ht="12.75" customHeight="1" x14ac:dyDescent="0.2">
      <c r="A1" s="131"/>
      <c r="B1" s="131"/>
      <c r="C1" s="131"/>
      <c r="D1" s="131"/>
      <c r="E1" s="131"/>
      <c r="F1" s="131"/>
      <c r="G1" s="131"/>
      <c r="H1" s="131"/>
      <c r="I1" s="131"/>
      <c r="J1" s="131"/>
      <c r="K1" s="131"/>
    </row>
    <row r="2" spans="1:30" ht="12.75" customHeight="1" x14ac:dyDescent="0.2">
      <c r="A2" s="131"/>
      <c r="B2" s="131"/>
      <c r="C2" s="131"/>
      <c r="D2" s="131"/>
      <c r="E2" s="131"/>
      <c r="F2" s="131"/>
      <c r="G2" s="131"/>
      <c r="H2" s="131"/>
      <c r="I2" s="131"/>
      <c r="J2" s="131"/>
      <c r="K2" s="131"/>
    </row>
    <row r="3" spans="1:30" ht="12.75" customHeight="1" x14ac:dyDescent="0.2">
      <c r="A3" s="131"/>
      <c r="B3" s="131"/>
      <c r="C3" s="131"/>
      <c r="D3" s="131"/>
      <c r="E3" s="131"/>
      <c r="F3" s="131"/>
      <c r="G3" s="131"/>
      <c r="H3" s="131"/>
      <c r="I3" s="131"/>
      <c r="J3" s="131"/>
      <c r="K3" s="131"/>
    </row>
    <row r="4" spans="1:30" ht="12.75" customHeight="1" x14ac:dyDescent="0.2">
      <c r="A4" s="131"/>
      <c r="B4" s="131"/>
      <c r="C4" s="131"/>
      <c r="D4" s="131"/>
      <c r="E4" s="131"/>
      <c r="F4" s="131"/>
      <c r="G4" s="131"/>
      <c r="H4" s="131"/>
      <c r="I4" s="131"/>
      <c r="J4" s="131"/>
      <c r="K4" s="131"/>
    </row>
    <row r="5" spans="1:30" ht="12.75" customHeight="1" x14ac:dyDescent="0.2">
      <c r="A5" s="131"/>
      <c r="B5" s="131"/>
      <c r="C5" s="131"/>
      <c r="D5" s="131"/>
      <c r="E5" s="131"/>
      <c r="F5" s="131"/>
      <c r="G5" s="131"/>
      <c r="H5" s="131"/>
      <c r="I5" s="131"/>
      <c r="J5" s="131"/>
      <c r="K5" s="131"/>
    </row>
    <row r="6" spans="1:30" ht="12.75" customHeight="1" x14ac:dyDescent="0.2">
      <c r="A6" s="131"/>
      <c r="B6" s="131"/>
      <c r="C6" s="131"/>
      <c r="D6" s="131"/>
      <c r="E6" s="131"/>
      <c r="F6" s="131"/>
      <c r="G6" s="131"/>
      <c r="H6" s="131"/>
      <c r="I6" s="131"/>
      <c r="J6" s="131"/>
      <c r="K6" s="131"/>
    </row>
    <row r="7" spans="1:30" x14ac:dyDescent="0.2">
      <c r="A7" s="131"/>
      <c r="B7" s="131"/>
      <c r="C7" s="131"/>
      <c r="D7" s="131"/>
      <c r="E7" s="131"/>
      <c r="F7" s="131"/>
      <c r="G7" s="131"/>
      <c r="H7" s="131"/>
      <c r="I7" s="131"/>
      <c r="J7" s="131"/>
      <c r="K7" s="131"/>
    </row>
    <row r="8" spans="1:30" s="2" customFormat="1" ht="20.25" x14ac:dyDescent="0.3">
      <c r="A8" s="127" t="s">
        <v>154</v>
      </c>
      <c r="B8" s="121"/>
      <c r="C8" s="121"/>
      <c r="D8" s="122"/>
      <c r="E8" s="122"/>
      <c r="F8" s="122"/>
      <c r="G8" s="122"/>
      <c r="H8" s="123"/>
      <c r="I8" s="123"/>
      <c r="J8" s="123"/>
      <c r="K8" s="123"/>
      <c r="L8" s="1"/>
      <c r="M8" s="1"/>
      <c r="N8" s="1"/>
      <c r="O8" s="1"/>
      <c r="P8" s="1"/>
      <c r="Q8" s="1"/>
      <c r="R8" s="1"/>
      <c r="S8" s="1"/>
      <c r="T8" s="1"/>
      <c r="U8" s="1"/>
      <c r="V8" s="1"/>
      <c r="W8" s="1"/>
      <c r="X8" s="1"/>
      <c r="Y8" s="1"/>
      <c r="Z8" s="1"/>
      <c r="AA8" s="1"/>
      <c r="AB8" s="1"/>
      <c r="AC8" s="1"/>
      <c r="AD8" s="1"/>
    </row>
    <row r="9" spans="1:30" s="2" customFormat="1" ht="12.75" customHeight="1" x14ac:dyDescent="0.2">
      <c r="A9" s="226" t="s">
        <v>247</v>
      </c>
      <c r="B9" s="226"/>
      <c r="C9" s="226"/>
      <c r="D9" s="226"/>
      <c r="E9" s="226"/>
      <c r="F9" s="226"/>
      <c r="G9" s="226"/>
      <c r="H9" s="226"/>
      <c r="I9" s="226"/>
      <c r="J9" s="226"/>
      <c r="K9" s="226"/>
      <c r="L9" s="1"/>
      <c r="M9" s="1"/>
      <c r="N9" s="1"/>
      <c r="O9" s="1"/>
      <c r="P9" s="1"/>
      <c r="Q9" s="1"/>
      <c r="R9" s="1"/>
      <c r="S9" s="1"/>
      <c r="T9" s="1"/>
      <c r="U9" s="1"/>
      <c r="V9" s="1"/>
      <c r="W9" s="1"/>
      <c r="X9" s="1"/>
      <c r="Y9" s="1"/>
      <c r="Z9" s="1"/>
      <c r="AA9" s="1"/>
      <c r="AB9" s="1"/>
      <c r="AC9" s="1"/>
      <c r="AD9" s="1"/>
    </row>
    <row r="10" spans="1:30" s="2" customFormat="1" x14ac:dyDescent="0.2">
      <c r="A10" s="226"/>
      <c r="B10" s="226"/>
      <c r="C10" s="226"/>
      <c r="D10" s="226"/>
      <c r="E10" s="226"/>
      <c r="F10" s="226"/>
      <c r="G10" s="226"/>
      <c r="H10" s="226"/>
      <c r="I10" s="226"/>
      <c r="J10" s="226"/>
      <c r="K10" s="226"/>
      <c r="L10" s="1"/>
      <c r="M10" s="1"/>
      <c r="N10" s="1"/>
      <c r="O10" s="1"/>
      <c r="P10" s="1"/>
      <c r="Q10" s="1"/>
      <c r="R10" s="1"/>
      <c r="S10" s="1"/>
      <c r="T10" s="1"/>
      <c r="U10" s="1"/>
      <c r="V10" s="1"/>
      <c r="W10" s="1"/>
      <c r="X10" s="1"/>
      <c r="Y10" s="1"/>
      <c r="Z10" s="1"/>
      <c r="AA10" s="1"/>
      <c r="AB10" s="1"/>
      <c r="AC10" s="1"/>
      <c r="AD10" s="1"/>
    </row>
    <row r="11" spans="1:30" s="2" customFormat="1" x14ac:dyDescent="0.2">
      <c r="A11" s="226"/>
      <c r="B11" s="226"/>
      <c r="C11" s="226"/>
      <c r="D11" s="226"/>
      <c r="E11" s="226"/>
      <c r="F11" s="226"/>
      <c r="G11" s="226"/>
      <c r="H11" s="226"/>
      <c r="I11" s="226"/>
      <c r="J11" s="226"/>
      <c r="K11" s="226"/>
      <c r="L11" s="1"/>
      <c r="M11" s="1"/>
      <c r="N11" s="1"/>
      <c r="O11" s="1"/>
      <c r="P11" s="1"/>
      <c r="Q11" s="1"/>
      <c r="R11" s="1"/>
      <c r="S11" s="1"/>
      <c r="T11" s="1"/>
      <c r="U11" s="1"/>
      <c r="V11" s="1"/>
      <c r="W11" s="1"/>
      <c r="X11" s="1"/>
      <c r="Y11" s="1"/>
      <c r="Z11" s="1"/>
      <c r="AA11" s="1"/>
      <c r="AB11" s="1"/>
      <c r="AC11" s="1"/>
      <c r="AD11" s="1"/>
    </row>
    <row r="12" spans="1:30" s="2" customFormat="1" x14ac:dyDescent="0.2">
      <c r="A12" s="226"/>
      <c r="B12" s="226"/>
      <c r="C12" s="226"/>
      <c r="D12" s="226"/>
      <c r="E12" s="226"/>
      <c r="F12" s="226"/>
      <c r="G12" s="226"/>
      <c r="H12" s="226"/>
      <c r="I12" s="226"/>
      <c r="J12" s="226"/>
      <c r="K12" s="226"/>
      <c r="L12" s="1"/>
      <c r="M12" s="1"/>
      <c r="N12" s="1"/>
      <c r="O12" s="1"/>
      <c r="P12" s="1"/>
      <c r="Q12" s="1"/>
      <c r="R12" s="1"/>
      <c r="S12" s="1"/>
      <c r="T12" s="1"/>
      <c r="U12" s="1"/>
      <c r="V12" s="1"/>
      <c r="W12" s="1"/>
      <c r="X12" s="1"/>
      <c r="Y12" s="1"/>
      <c r="Z12" s="1"/>
      <c r="AA12" s="1"/>
      <c r="AB12" s="1"/>
      <c r="AC12" s="1"/>
      <c r="AD12" s="1"/>
    </row>
    <row r="13" spans="1:30" x14ac:dyDescent="0.2">
      <c r="A13" s="131"/>
      <c r="B13" s="131"/>
      <c r="C13" s="131"/>
      <c r="D13" s="131"/>
      <c r="E13" s="131"/>
      <c r="F13" s="131"/>
      <c r="G13" s="131"/>
      <c r="H13" s="131"/>
      <c r="I13" s="131"/>
      <c r="J13" s="131"/>
      <c r="K13" s="131"/>
    </row>
    <row r="14" spans="1:30" s="2" customFormat="1" ht="20.25" x14ac:dyDescent="0.3">
      <c r="A14" s="127" t="s">
        <v>168</v>
      </c>
      <c r="B14" s="121"/>
      <c r="C14" s="121"/>
      <c r="D14" s="122"/>
      <c r="E14" s="122"/>
      <c r="F14" s="122"/>
      <c r="G14" s="122"/>
      <c r="H14" s="123"/>
      <c r="I14" s="123"/>
      <c r="J14" s="123"/>
      <c r="K14" s="123"/>
      <c r="L14" s="1"/>
      <c r="M14" s="1"/>
      <c r="N14" s="1"/>
      <c r="O14" s="1"/>
      <c r="P14" s="1"/>
      <c r="Q14" s="1"/>
      <c r="R14" s="1"/>
      <c r="S14" s="1"/>
      <c r="T14" s="1"/>
      <c r="U14" s="1"/>
      <c r="V14" s="1"/>
      <c r="W14" s="1"/>
      <c r="X14" s="1"/>
      <c r="Y14" s="1"/>
      <c r="Z14" s="1"/>
      <c r="AA14" s="1"/>
      <c r="AB14" s="1"/>
      <c r="AC14" s="1"/>
      <c r="AD14" s="1"/>
    </row>
    <row r="15" spans="1:30" x14ac:dyDescent="0.2">
      <c r="A15" s="131"/>
      <c r="B15" s="131"/>
      <c r="C15" s="131"/>
      <c r="D15" s="131"/>
      <c r="E15" s="131"/>
      <c r="F15" s="131"/>
      <c r="G15" s="131"/>
      <c r="H15" s="131"/>
      <c r="I15" s="131"/>
      <c r="J15" s="131"/>
      <c r="K15" s="131"/>
    </row>
    <row r="16" spans="1:30" x14ac:dyDescent="0.2">
      <c r="A16" s="131"/>
      <c r="B16" s="131"/>
      <c r="C16" s="131"/>
      <c r="D16" s="131"/>
      <c r="E16" s="131"/>
      <c r="F16" s="131"/>
      <c r="G16" s="131"/>
      <c r="H16" s="131"/>
      <c r="I16" s="131"/>
      <c r="J16" s="131"/>
      <c r="K16" s="131"/>
    </row>
    <row r="17" spans="1:11" x14ac:dyDescent="0.2">
      <c r="A17" s="131"/>
      <c r="B17" s="131"/>
      <c r="C17" s="131"/>
      <c r="D17" s="131"/>
      <c r="E17" s="131"/>
      <c r="F17" s="131"/>
      <c r="G17" s="131"/>
      <c r="H17" s="131"/>
      <c r="I17" s="131"/>
      <c r="J17" s="131"/>
      <c r="K17" s="131"/>
    </row>
    <row r="18" spans="1:11" x14ac:dyDescent="0.2">
      <c r="A18" s="131"/>
      <c r="B18" s="131"/>
      <c r="C18" s="131"/>
      <c r="D18" s="131"/>
      <c r="E18" s="131"/>
      <c r="F18" s="131"/>
      <c r="G18" s="131"/>
      <c r="H18" s="131"/>
      <c r="I18" s="131"/>
      <c r="J18" s="131"/>
      <c r="K18" s="131"/>
    </row>
    <row r="19" spans="1:11" x14ac:dyDescent="0.2">
      <c r="A19" s="131"/>
      <c r="B19" s="131"/>
      <c r="C19" s="131"/>
      <c r="D19" s="131"/>
      <c r="E19" s="131"/>
      <c r="F19" s="131"/>
      <c r="G19" s="131"/>
      <c r="H19" s="131"/>
      <c r="I19" s="131"/>
      <c r="J19" s="131"/>
      <c r="K19" s="131"/>
    </row>
    <row r="20" spans="1:11" x14ac:dyDescent="0.2">
      <c r="A20" s="131"/>
      <c r="B20" s="131"/>
      <c r="C20" s="131"/>
      <c r="D20" s="131"/>
      <c r="E20" s="131"/>
      <c r="F20" s="131"/>
      <c r="G20" s="131"/>
      <c r="H20" s="131"/>
      <c r="I20" s="131"/>
      <c r="J20" s="131"/>
      <c r="K20" s="131"/>
    </row>
    <row r="21" spans="1:11" x14ac:dyDescent="0.2">
      <c r="A21" s="131"/>
      <c r="B21" s="131"/>
      <c r="C21" s="131"/>
      <c r="D21" s="131"/>
      <c r="E21" s="131"/>
      <c r="F21" s="131"/>
      <c r="G21" s="131"/>
      <c r="H21" s="131"/>
      <c r="I21" s="131"/>
      <c r="J21" s="131"/>
      <c r="K21" s="131"/>
    </row>
    <row r="22" spans="1:11" x14ac:dyDescent="0.2">
      <c r="A22" s="131"/>
      <c r="B22" s="131"/>
      <c r="C22" s="131"/>
      <c r="D22" s="131"/>
      <c r="E22" s="131"/>
      <c r="F22" s="131"/>
      <c r="G22" s="131"/>
      <c r="H22" s="131"/>
      <c r="I22" s="131"/>
      <c r="J22" s="131"/>
      <c r="K22" s="131"/>
    </row>
    <row r="23" spans="1:11" x14ac:dyDescent="0.2">
      <c r="A23" s="131"/>
      <c r="B23" s="131"/>
      <c r="C23" s="131"/>
      <c r="D23" s="131"/>
      <c r="E23" s="131"/>
      <c r="F23" s="131"/>
      <c r="G23" s="131"/>
      <c r="H23" s="131"/>
      <c r="I23" s="131"/>
      <c r="J23" s="131"/>
      <c r="K23" s="131"/>
    </row>
    <row r="24" spans="1:11" x14ac:dyDescent="0.2">
      <c r="A24" s="131"/>
      <c r="B24" s="131"/>
      <c r="C24" s="131"/>
      <c r="D24" s="131"/>
      <c r="E24" s="131"/>
      <c r="F24" s="131"/>
      <c r="G24" s="131"/>
      <c r="H24" s="131"/>
      <c r="I24" s="131"/>
      <c r="J24" s="131"/>
      <c r="K24" s="131"/>
    </row>
    <row r="25" spans="1:11" x14ac:dyDescent="0.2">
      <c r="A25" s="131"/>
      <c r="B25" s="131"/>
      <c r="C25" s="131"/>
      <c r="D25" s="131"/>
      <c r="E25" s="131"/>
      <c r="F25" s="131"/>
      <c r="G25" s="131"/>
      <c r="H25" s="131"/>
      <c r="I25" s="131"/>
      <c r="J25" s="131"/>
      <c r="K25" s="131"/>
    </row>
    <row r="26" spans="1:11" x14ac:dyDescent="0.2">
      <c r="A26" s="131"/>
      <c r="B26" s="131"/>
      <c r="C26" s="131"/>
      <c r="D26" s="131"/>
      <c r="E26" s="131"/>
      <c r="F26" s="131"/>
      <c r="G26" s="131"/>
      <c r="H26" s="131"/>
      <c r="I26" s="131"/>
      <c r="J26" s="131"/>
      <c r="K26" s="131"/>
    </row>
    <row r="27" spans="1:11" x14ac:dyDescent="0.2">
      <c r="A27" s="131"/>
      <c r="B27" s="131"/>
      <c r="C27" s="131"/>
      <c r="D27" s="131"/>
      <c r="E27" s="131"/>
      <c r="F27" s="131"/>
      <c r="G27" s="131"/>
      <c r="H27" s="131"/>
      <c r="I27" s="131"/>
      <c r="J27" s="131"/>
      <c r="K27" s="131"/>
    </row>
    <row r="28" spans="1:11" x14ac:dyDescent="0.2">
      <c r="A28" s="131"/>
      <c r="B28" s="131"/>
      <c r="C28" s="131"/>
      <c r="D28" s="131"/>
      <c r="E28" s="131"/>
      <c r="F28" s="131"/>
      <c r="G28" s="131"/>
      <c r="H28" s="131"/>
      <c r="I28" s="131"/>
      <c r="J28" s="131"/>
      <c r="K28" s="131"/>
    </row>
    <row r="29" spans="1:11" x14ac:dyDescent="0.2">
      <c r="A29" s="131"/>
      <c r="B29" s="131"/>
      <c r="C29" s="131"/>
      <c r="D29" s="131"/>
      <c r="E29" s="131"/>
      <c r="F29" s="131"/>
      <c r="G29" s="131"/>
      <c r="H29" s="131"/>
      <c r="I29" s="131"/>
      <c r="J29" s="131"/>
      <c r="K29" s="131"/>
    </row>
    <row r="30" spans="1:11" x14ac:dyDescent="0.2">
      <c r="A30" s="131"/>
      <c r="B30" s="131"/>
      <c r="C30" s="131"/>
      <c r="D30" s="131"/>
      <c r="E30" s="131"/>
      <c r="F30" s="131"/>
      <c r="G30" s="131"/>
      <c r="H30" s="131"/>
      <c r="I30" s="131"/>
      <c r="J30" s="131"/>
      <c r="K30" s="131"/>
    </row>
    <row r="31" spans="1:11" x14ac:dyDescent="0.2">
      <c r="A31" s="131"/>
      <c r="B31" s="131"/>
      <c r="C31" s="131"/>
      <c r="D31" s="131"/>
      <c r="E31" s="131"/>
      <c r="F31" s="131"/>
      <c r="G31" s="131"/>
      <c r="H31" s="131"/>
      <c r="I31" s="131"/>
      <c r="J31" s="131"/>
      <c r="K31" s="131"/>
    </row>
    <row r="32" spans="1:11" x14ac:dyDescent="0.2">
      <c r="A32" s="131"/>
      <c r="B32" s="131"/>
      <c r="C32" s="131"/>
      <c r="D32" s="131"/>
      <c r="E32" s="131"/>
      <c r="F32" s="131"/>
      <c r="G32" s="131"/>
      <c r="H32" s="131"/>
      <c r="I32" s="131"/>
      <c r="J32" s="131"/>
      <c r="K32" s="131"/>
    </row>
    <row r="33" spans="1:11" x14ac:dyDescent="0.2">
      <c r="A33" s="131"/>
      <c r="B33" s="131"/>
      <c r="C33" s="131"/>
      <c r="D33" s="131"/>
      <c r="E33" s="131"/>
      <c r="F33" s="131"/>
      <c r="G33" s="131"/>
      <c r="H33" s="131"/>
      <c r="I33" s="131"/>
      <c r="J33" s="131"/>
      <c r="K33" s="131"/>
    </row>
    <row r="34" spans="1:11" x14ac:dyDescent="0.2">
      <c r="A34" s="131"/>
      <c r="B34" s="131"/>
      <c r="C34" s="131"/>
      <c r="D34" s="131"/>
      <c r="E34" s="131"/>
      <c r="F34" s="131"/>
      <c r="G34" s="131"/>
      <c r="H34" s="131"/>
      <c r="I34" s="131"/>
      <c r="J34" s="131"/>
      <c r="K34" s="131"/>
    </row>
    <row r="35" spans="1:11" x14ac:dyDescent="0.2">
      <c r="A35" s="131"/>
      <c r="B35" s="131"/>
      <c r="C35" s="131"/>
      <c r="D35" s="131"/>
      <c r="E35" s="131"/>
      <c r="F35" s="131"/>
      <c r="G35" s="131"/>
      <c r="H35" s="131"/>
      <c r="I35" s="131"/>
      <c r="J35" s="131"/>
      <c r="K35" s="131"/>
    </row>
    <row r="36" spans="1:11" x14ac:dyDescent="0.2">
      <c r="A36" s="131"/>
      <c r="B36" s="131"/>
      <c r="C36" s="131"/>
      <c r="D36" s="131"/>
      <c r="E36" s="131"/>
      <c r="F36" s="131"/>
      <c r="G36" s="131"/>
      <c r="H36" s="131"/>
      <c r="I36" s="131"/>
      <c r="J36" s="131"/>
      <c r="K36" s="131"/>
    </row>
    <row r="37" spans="1:11" x14ac:dyDescent="0.2">
      <c r="A37" s="131"/>
      <c r="B37" s="131"/>
      <c r="C37" s="131"/>
      <c r="D37" s="131"/>
      <c r="E37" s="131"/>
      <c r="F37" s="131"/>
      <c r="G37" s="131"/>
      <c r="H37" s="131"/>
      <c r="I37" s="131"/>
      <c r="J37" s="131"/>
      <c r="K37" s="131"/>
    </row>
    <row r="38" spans="1:11" x14ac:dyDescent="0.2">
      <c r="A38" s="131"/>
      <c r="B38" s="131"/>
      <c r="C38" s="131"/>
      <c r="D38" s="131"/>
      <c r="E38" s="131"/>
      <c r="F38" s="131"/>
      <c r="G38" s="131"/>
      <c r="H38" s="131"/>
      <c r="I38" s="131"/>
      <c r="J38" s="131"/>
      <c r="K38" s="131"/>
    </row>
    <row r="39" spans="1:11" x14ac:dyDescent="0.2">
      <c r="A39" s="131"/>
      <c r="B39" s="131"/>
      <c r="C39" s="131"/>
      <c r="D39" s="131"/>
      <c r="E39" s="131"/>
      <c r="F39" s="131"/>
      <c r="G39" s="131"/>
      <c r="H39" s="131"/>
      <c r="I39" s="131"/>
      <c r="J39" s="131"/>
      <c r="K39" s="131"/>
    </row>
    <row r="40" spans="1:11" x14ac:dyDescent="0.2">
      <c r="A40" s="131"/>
      <c r="B40" s="131"/>
      <c r="C40" s="131"/>
      <c r="D40" s="131"/>
      <c r="E40" s="131"/>
      <c r="F40" s="131"/>
      <c r="G40" s="131"/>
      <c r="H40" s="131"/>
      <c r="I40" s="131"/>
      <c r="J40" s="131"/>
      <c r="K40" s="131"/>
    </row>
    <row r="41" spans="1:11" x14ac:dyDescent="0.2">
      <c r="A41" s="131"/>
      <c r="B41" s="131"/>
      <c r="C41" s="131"/>
      <c r="D41" s="131"/>
      <c r="E41" s="131"/>
      <c r="F41" s="131"/>
      <c r="G41" s="131"/>
      <c r="H41" s="131"/>
      <c r="I41" s="131"/>
      <c r="J41" s="131"/>
      <c r="K41" s="131"/>
    </row>
    <row r="42" spans="1:11" x14ac:dyDescent="0.2">
      <c r="A42" s="131"/>
      <c r="B42" s="131"/>
      <c r="C42" s="131"/>
      <c r="D42" s="131"/>
      <c r="E42" s="131"/>
      <c r="F42" s="131"/>
      <c r="G42" s="131"/>
      <c r="H42" s="131"/>
      <c r="I42" s="131"/>
      <c r="J42" s="131"/>
      <c r="K42" s="131"/>
    </row>
    <row r="43" spans="1:11" x14ac:dyDescent="0.2">
      <c r="A43" s="131"/>
      <c r="B43" s="131"/>
      <c r="C43" s="131"/>
      <c r="D43" s="131"/>
      <c r="E43" s="131"/>
      <c r="F43" s="131"/>
      <c r="G43" s="131"/>
      <c r="H43" s="131"/>
      <c r="I43" s="131"/>
      <c r="J43" s="131"/>
      <c r="K43" s="131"/>
    </row>
    <row r="44" spans="1:11" ht="20.25" hidden="1" customHeight="1" x14ac:dyDescent="0.3">
      <c r="A44" s="127" t="s">
        <v>224</v>
      </c>
      <c r="B44" s="131"/>
      <c r="C44" s="131"/>
      <c r="D44" s="131"/>
      <c r="E44" s="131"/>
      <c r="F44" s="131"/>
      <c r="G44" s="131"/>
      <c r="H44" s="131"/>
      <c r="I44" s="131"/>
      <c r="J44" s="131"/>
      <c r="K44" s="131"/>
    </row>
    <row r="45" spans="1:11" s="2" customFormat="1" ht="12.75" hidden="1" customHeight="1" x14ac:dyDescent="0.2">
      <c r="A45" s="219" t="s">
        <v>230</v>
      </c>
      <c r="B45" s="219" t="s">
        <v>217</v>
      </c>
      <c r="C45" s="220"/>
      <c r="D45" s="220"/>
      <c r="E45" s="220"/>
      <c r="F45" s="220"/>
      <c r="G45" s="220"/>
      <c r="H45" s="220"/>
      <c r="I45" s="220"/>
      <c r="J45" s="220"/>
      <c r="K45" s="220"/>
    </row>
    <row r="46" spans="1:11" s="2" customFormat="1" ht="12.75" hidden="1" customHeight="1" x14ac:dyDescent="0.2">
      <c r="A46" s="221" t="s">
        <v>218</v>
      </c>
      <c r="B46" s="229" t="s">
        <v>225</v>
      </c>
      <c r="C46" s="229"/>
      <c r="D46" s="229"/>
      <c r="E46" s="229"/>
      <c r="F46" s="229"/>
      <c r="G46" s="229"/>
      <c r="H46" s="229"/>
      <c r="I46" s="229"/>
      <c r="J46" s="229"/>
      <c r="K46" s="229"/>
    </row>
    <row r="47" spans="1:11" s="2" customFormat="1" ht="12.75" hidden="1" customHeight="1" x14ac:dyDescent="0.2">
      <c r="A47" s="222" t="s">
        <v>219</v>
      </c>
      <c r="B47" s="227" t="s">
        <v>220</v>
      </c>
      <c r="C47" s="227"/>
      <c r="D47" s="227"/>
      <c r="E47" s="227"/>
      <c r="F47" s="227"/>
      <c r="G47" s="227"/>
      <c r="H47" s="227"/>
      <c r="I47" s="227"/>
      <c r="J47" s="227"/>
      <c r="K47" s="227"/>
    </row>
    <row r="48" spans="1:11" s="2" customFormat="1" ht="12.75" hidden="1" customHeight="1" x14ac:dyDescent="0.2">
      <c r="A48" s="223"/>
      <c r="B48" s="227" t="s">
        <v>221</v>
      </c>
      <c r="C48" s="227"/>
      <c r="D48" s="227"/>
      <c r="E48" s="227"/>
      <c r="F48" s="227"/>
      <c r="G48" s="227"/>
      <c r="H48" s="227"/>
      <c r="I48" s="227"/>
      <c r="J48" s="227"/>
      <c r="K48" s="227"/>
    </row>
    <row r="49" spans="1:11" s="2" customFormat="1" ht="12.75" hidden="1" customHeight="1" x14ac:dyDescent="0.2">
      <c r="A49" s="223"/>
      <c r="B49" s="227" t="s">
        <v>226</v>
      </c>
      <c r="C49" s="227"/>
      <c r="D49" s="227"/>
      <c r="E49" s="227"/>
      <c r="F49" s="227"/>
      <c r="G49" s="227"/>
      <c r="H49" s="227"/>
      <c r="I49" s="227"/>
      <c r="J49" s="227"/>
      <c r="K49" s="227"/>
    </row>
    <row r="50" spans="1:11" s="2" customFormat="1" ht="12.75" hidden="1" customHeight="1" x14ac:dyDescent="0.2">
      <c r="A50" s="223"/>
      <c r="B50" s="227" t="s">
        <v>222</v>
      </c>
      <c r="C50" s="227"/>
      <c r="D50" s="227"/>
      <c r="E50" s="227"/>
      <c r="F50" s="227"/>
      <c r="G50" s="227"/>
      <c r="H50" s="227"/>
      <c r="I50" s="227"/>
      <c r="J50" s="227"/>
      <c r="K50" s="227"/>
    </row>
    <row r="51" spans="1:11" s="2" customFormat="1" ht="12.75" hidden="1" customHeight="1" x14ac:dyDescent="0.2">
      <c r="A51" s="223"/>
      <c r="B51" s="227" t="s">
        <v>227</v>
      </c>
      <c r="C51" s="227"/>
      <c r="D51" s="227"/>
      <c r="E51" s="227"/>
      <c r="F51" s="227"/>
      <c r="G51" s="227"/>
      <c r="H51" s="227"/>
      <c r="I51" s="227"/>
      <c r="J51" s="227"/>
      <c r="K51" s="227"/>
    </row>
    <row r="52" spans="1:11" s="2" customFormat="1" ht="12.75" hidden="1" customHeight="1" x14ac:dyDescent="0.2">
      <c r="A52" s="223"/>
      <c r="B52" s="227" t="s">
        <v>228</v>
      </c>
      <c r="C52" s="227"/>
      <c r="D52" s="227"/>
      <c r="E52" s="227"/>
      <c r="F52" s="227"/>
      <c r="G52" s="227"/>
      <c r="H52" s="227"/>
      <c r="I52" s="227"/>
      <c r="J52" s="227"/>
      <c r="K52" s="227"/>
    </row>
    <row r="53" spans="1:11" s="2" customFormat="1" ht="12.75" hidden="1" customHeight="1" x14ac:dyDescent="0.2">
      <c r="A53" s="223"/>
      <c r="B53" s="227"/>
      <c r="C53" s="227"/>
      <c r="D53" s="227"/>
      <c r="E53" s="227"/>
      <c r="F53" s="227"/>
      <c r="G53" s="227"/>
      <c r="H53" s="227"/>
      <c r="I53" s="227"/>
      <c r="J53" s="227"/>
      <c r="K53" s="227"/>
    </row>
    <row r="54" spans="1:11" s="2" customFormat="1" ht="12.75" hidden="1" customHeight="1" x14ac:dyDescent="0.2">
      <c r="A54" s="223"/>
      <c r="B54" s="227" t="s">
        <v>223</v>
      </c>
      <c r="C54" s="227"/>
      <c r="D54" s="227"/>
      <c r="E54" s="227"/>
      <c r="F54" s="227"/>
      <c r="G54" s="227"/>
      <c r="H54" s="227"/>
      <c r="I54" s="227"/>
      <c r="J54" s="227"/>
      <c r="K54" s="227"/>
    </row>
    <row r="55" spans="1:11" s="2" customFormat="1" ht="12.75" hidden="1" customHeight="1" x14ac:dyDescent="0.2">
      <c r="A55" s="223"/>
      <c r="B55" s="227"/>
      <c r="C55" s="227"/>
      <c r="D55" s="227"/>
      <c r="E55" s="227"/>
      <c r="F55" s="227"/>
      <c r="G55" s="227"/>
      <c r="H55" s="227"/>
      <c r="I55" s="227"/>
      <c r="J55" s="227"/>
      <c r="K55" s="227"/>
    </row>
    <row r="56" spans="1:11" s="2" customFormat="1" ht="12.75" hidden="1" customHeight="1" x14ac:dyDescent="0.2">
      <c r="A56" s="223"/>
      <c r="B56" s="228" t="s">
        <v>246</v>
      </c>
      <c r="C56" s="227"/>
      <c r="D56" s="227"/>
      <c r="E56" s="227"/>
      <c r="F56" s="227"/>
      <c r="G56" s="227"/>
      <c r="H56" s="227"/>
      <c r="I56" s="227"/>
      <c r="J56" s="227"/>
      <c r="K56" s="227"/>
    </row>
    <row r="57" spans="1:11" s="2" customFormat="1" ht="12.75" hidden="1" customHeight="1" x14ac:dyDescent="0.2">
      <c r="A57" s="223"/>
      <c r="B57" s="227" t="s">
        <v>241</v>
      </c>
      <c r="C57" s="227"/>
      <c r="D57" s="227"/>
      <c r="E57" s="227"/>
      <c r="F57" s="227"/>
      <c r="G57" s="227"/>
      <c r="H57" s="227"/>
      <c r="I57" s="227"/>
      <c r="J57" s="227"/>
      <c r="K57" s="227"/>
    </row>
    <row r="58" spans="1:11" s="2" customFormat="1" ht="12.75" hidden="1" customHeight="1" x14ac:dyDescent="0.2">
      <c r="A58" s="223"/>
      <c r="B58" s="227"/>
      <c r="C58" s="227"/>
      <c r="D58" s="227"/>
      <c r="E58" s="227"/>
      <c r="F58" s="227"/>
      <c r="G58" s="227"/>
      <c r="H58" s="227"/>
      <c r="I58" s="227"/>
      <c r="J58" s="227"/>
      <c r="K58" s="227"/>
    </row>
    <row r="59" spans="1:11" s="2" customFormat="1" ht="12.75" hidden="1" customHeight="1" x14ac:dyDescent="0.2">
      <c r="A59" s="220"/>
      <c r="B59" s="220"/>
      <c r="C59" s="220"/>
      <c r="D59" s="220"/>
      <c r="E59" s="220"/>
      <c r="F59" s="220"/>
      <c r="G59" s="220"/>
      <c r="H59" s="220"/>
      <c r="I59" s="220"/>
      <c r="J59" s="220"/>
      <c r="K59" s="220"/>
    </row>
    <row r="60" spans="1:11" ht="20.25" x14ac:dyDescent="0.3">
      <c r="A60" s="127" t="s">
        <v>167</v>
      </c>
      <c r="B60" s="131"/>
      <c r="C60" s="131"/>
      <c r="D60" s="131"/>
      <c r="E60" s="131"/>
      <c r="F60" s="131"/>
      <c r="G60" s="131"/>
      <c r="H60" s="131"/>
      <c r="I60" s="131"/>
      <c r="J60" s="131"/>
      <c r="K60" s="131"/>
    </row>
    <row r="61" spans="1:11" x14ac:dyDescent="0.2">
      <c r="A61" s="227" t="s">
        <v>248</v>
      </c>
      <c r="B61" s="227"/>
      <c r="C61" s="227"/>
      <c r="D61" s="227"/>
      <c r="E61" s="227"/>
      <c r="F61" s="227"/>
      <c r="G61" s="227"/>
      <c r="H61" s="227"/>
      <c r="I61" s="227"/>
      <c r="J61" s="227"/>
      <c r="K61" s="227"/>
    </row>
    <row r="62" spans="1:11" x14ac:dyDescent="0.2">
      <c r="A62" s="227"/>
      <c r="B62" s="227"/>
      <c r="C62" s="227"/>
      <c r="D62" s="227"/>
      <c r="E62" s="227"/>
      <c r="F62" s="227"/>
      <c r="G62" s="227"/>
      <c r="H62" s="227"/>
      <c r="I62" s="227"/>
      <c r="J62" s="227"/>
      <c r="K62" s="227"/>
    </row>
    <row r="63" spans="1:11" x14ac:dyDescent="0.2">
      <c r="A63" s="131"/>
      <c r="B63" s="131"/>
      <c r="C63" s="131"/>
      <c r="D63" s="131"/>
      <c r="E63" s="131"/>
      <c r="F63" s="131"/>
      <c r="G63" s="131"/>
      <c r="H63" s="131"/>
      <c r="I63" s="131"/>
      <c r="J63" s="131"/>
      <c r="K63" s="131"/>
    </row>
    <row r="64" spans="1:11" x14ac:dyDescent="0.2">
      <c r="A64" s="131"/>
      <c r="B64" s="131"/>
      <c r="C64" s="131"/>
      <c r="D64" s="131"/>
      <c r="E64" s="131"/>
      <c r="F64" s="131"/>
      <c r="G64" s="131"/>
      <c r="H64" s="131"/>
      <c r="I64" s="131"/>
      <c r="J64" s="131"/>
      <c r="K64" s="131"/>
    </row>
    <row r="65" spans="1:11" x14ac:dyDescent="0.2">
      <c r="A65" s="131"/>
      <c r="B65" s="131"/>
      <c r="C65" s="131"/>
      <c r="D65" s="131"/>
      <c r="E65" s="131"/>
      <c r="F65" s="131"/>
      <c r="G65" s="131"/>
      <c r="H65" s="131"/>
      <c r="I65" s="131"/>
      <c r="J65" s="131"/>
      <c r="K65" s="131"/>
    </row>
    <row r="66" spans="1:11" x14ac:dyDescent="0.2">
      <c r="A66" s="131"/>
      <c r="B66" s="131"/>
      <c r="C66" s="131"/>
      <c r="D66" s="131"/>
      <c r="E66" s="131"/>
      <c r="F66" s="131"/>
      <c r="G66" s="131"/>
      <c r="H66" s="131"/>
      <c r="I66" s="131"/>
      <c r="J66" s="131"/>
      <c r="K66" s="131"/>
    </row>
    <row r="67" spans="1:11" x14ac:dyDescent="0.2">
      <c r="A67" s="131"/>
      <c r="B67" s="131"/>
      <c r="C67" s="131"/>
      <c r="D67" s="131"/>
      <c r="E67" s="131"/>
      <c r="F67" s="131"/>
      <c r="G67" s="131"/>
      <c r="H67" s="131"/>
      <c r="I67" s="131"/>
      <c r="J67" s="131"/>
      <c r="K67" s="131"/>
    </row>
  </sheetData>
  <sheetProtection password="CA52" sheet="1" objects="1" scenarios="1" selectLockedCells="1" selectUnlockedCells="1"/>
  <mergeCells count="12">
    <mergeCell ref="A9:K12"/>
    <mergeCell ref="A61:K62"/>
    <mergeCell ref="B47:K47"/>
    <mergeCell ref="B48:K48"/>
    <mergeCell ref="B49:K49"/>
    <mergeCell ref="B50:K50"/>
    <mergeCell ref="B51:K51"/>
    <mergeCell ref="B56:K56"/>
    <mergeCell ref="B52:K53"/>
    <mergeCell ref="B54:K55"/>
    <mergeCell ref="B57:K58"/>
    <mergeCell ref="B46:K46"/>
  </mergeCells>
  <phoneticPr fontId="25" type="noConversion"/>
  <pageMargins left="0.70866141732283472" right="0.70866141732283472" top="0.74803149606299213" bottom="0.74803149606299213" header="0.31496062992125984" footer="0.31496062992125984"/>
  <pageSetup paperSize="9" scale="5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89"/>
  <sheetViews>
    <sheetView tabSelected="1" zoomScaleNormal="100" zoomScaleSheetLayoutView="100" workbookViewId="0">
      <selection activeCell="A7" sqref="A7"/>
    </sheetView>
  </sheetViews>
  <sheetFormatPr defaultRowHeight="12.75" x14ac:dyDescent="0.2"/>
  <cols>
    <col min="1" max="1" width="34" customWidth="1"/>
    <col min="2" max="11" width="11.7109375" customWidth="1"/>
    <col min="13" max="13" width="12" hidden="1" customWidth="1"/>
    <col min="14" max="14" width="20.42578125" hidden="1" customWidth="1"/>
    <col min="15" max="15" width="9.140625" hidden="1" customWidth="1"/>
    <col min="16" max="16" width="11.140625" hidden="1" customWidth="1"/>
    <col min="17" max="17" width="18.5703125" hidden="1" customWidth="1"/>
    <col min="18" max="19" width="9.140625" hidden="1" customWidth="1"/>
    <col min="20" max="20" width="18.7109375" hidden="1" customWidth="1"/>
    <col min="21" max="21" width="20.140625" hidden="1" customWidth="1"/>
    <col min="22" max="22" width="10.42578125" hidden="1" customWidth="1"/>
    <col min="23" max="27" width="9.140625" hidden="1" customWidth="1"/>
    <col min="28" max="30" width="0" hidden="1" customWidth="1"/>
  </cols>
  <sheetData>
    <row r="1" spans="1:30" s="2" customFormat="1" x14ac:dyDescent="0.2">
      <c r="A1" s="121"/>
      <c r="B1" s="121"/>
      <c r="C1" s="121"/>
      <c r="D1" s="122"/>
      <c r="E1" s="122"/>
      <c r="F1" s="122"/>
      <c r="G1" s="122"/>
      <c r="H1" s="123"/>
      <c r="I1" s="123"/>
      <c r="J1" s="123"/>
      <c r="K1" s="123"/>
      <c r="L1" s="1"/>
      <c r="M1" s="1"/>
      <c r="N1" s="1"/>
      <c r="O1" s="1"/>
      <c r="P1" s="1"/>
      <c r="Q1" s="1"/>
      <c r="R1" s="1"/>
      <c r="S1" s="1"/>
      <c r="T1" s="1"/>
      <c r="U1" s="1"/>
      <c r="V1" s="1"/>
      <c r="W1" s="1"/>
      <c r="X1" s="1"/>
      <c r="Y1" s="1"/>
      <c r="Z1" s="1"/>
      <c r="AA1" s="1"/>
      <c r="AB1" s="1"/>
      <c r="AC1" s="1"/>
      <c r="AD1" s="1"/>
    </row>
    <row r="2" spans="1:30" s="2" customFormat="1" x14ac:dyDescent="0.2">
      <c r="A2" s="121"/>
      <c r="B2" s="121"/>
      <c r="C2" s="124"/>
      <c r="D2" s="122"/>
      <c r="E2" s="122"/>
      <c r="F2" s="122"/>
      <c r="G2" s="122"/>
      <c r="H2" s="123"/>
      <c r="I2" s="123"/>
      <c r="J2" s="123"/>
      <c r="K2" s="123"/>
      <c r="L2" s="1"/>
      <c r="M2" s="1"/>
      <c r="N2" s="1"/>
      <c r="O2" s="1"/>
      <c r="P2" s="1"/>
      <c r="Q2" s="1"/>
      <c r="R2" s="1"/>
      <c r="S2" s="1"/>
      <c r="T2" s="1"/>
      <c r="U2" s="1"/>
      <c r="V2" s="1"/>
      <c r="W2" s="1"/>
      <c r="X2" s="1"/>
      <c r="Y2" s="1"/>
      <c r="Z2" s="1"/>
      <c r="AA2" s="1"/>
      <c r="AB2" s="1"/>
      <c r="AC2" s="1"/>
      <c r="AD2" s="1"/>
    </row>
    <row r="3" spans="1:30" s="2" customFormat="1" ht="12.75" customHeight="1" x14ac:dyDescent="0.3">
      <c r="A3" s="125"/>
      <c r="B3" s="121"/>
      <c r="C3" s="126"/>
      <c r="D3" s="121"/>
      <c r="E3" s="122"/>
      <c r="F3" s="122"/>
      <c r="G3" s="122"/>
      <c r="H3" s="123"/>
      <c r="I3" s="123"/>
      <c r="J3" s="123"/>
      <c r="K3" s="123"/>
      <c r="L3" s="1"/>
      <c r="M3" s="1"/>
      <c r="N3" s="1"/>
      <c r="O3" s="1"/>
      <c r="P3" s="1"/>
      <c r="Q3" s="1"/>
      <c r="R3" s="1"/>
      <c r="S3" s="1"/>
      <c r="T3" s="1"/>
      <c r="U3" s="1"/>
      <c r="V3" s="1"/>
      <c r="W3" s="1"/>
      <c r="X3" s="1"/>
      <c r="Y3" s="1"/>
      <c r="Z3" s="1"/>
      <c r="AA3" s="1"/>
      <c r="AB3" s="1"/>
      <c r="AC3" s="1"/>
      <c r="AD3" s="1"/>
    </row>
    <row r="4" spans="1:30" s="2" customFormat="1" x14ac:dyDescent="0.2">
      <c r="A4" s="121"/>
      <c r="B4" s="121"/>
      <c r="C4" s="121"/>
      <c r="D4" s="122"/>
      <c r="E4" s="122"/>
      <c r="F4" s="122"/>
      <c r="G4" s="122"/>
      <c r="H4" s="123"/>
      <c r="I4" s="123"/>
      <c r="J4" s="123"/>
      <c r="K4" s="123"/>
      <c r="L4" s="1"/>
      <c r="M4" s="1"/>
      <c r="N4" s="1"/>
      <c r="O4" s="1"/>
      <c r="P4" s="1"/>
      <c r="Q4" s="1"/>
      <c r="R4" s="1"/>
      <c r="S4" s="1"/>
      <c r="T4" s="1"/>
      <c r="U4" s="1"/>
      <c r="V4" s="1"/>
      <c r="W4" s="1"/>
      <c r="X4" s="1"/>
      <c r="Y4" s="1"/>
      <c r="Z4" s="1"/>
      <c r="AA4" s="1"/>
      <c r="AB4" s="1"/>
      <c r="AC4" s="1"/>
      <c r="AD4" s="1"/>
    </row>
    <row r="5" spans="1:30" s="2" customFormat="1" x14ac:dyDescent="0.2">
      <c r="A5" s="121"/>
      <c r="B5" s="121"/>
      <c r="C5" s="121"/>
      <c r="D5" s="122"/>
      <c r="E5" s="122"/>
      <c r="F5" s="122"/>
      <c r="G5" s="122"/>
      <c r="H5" s="123"/>
      <c r="I5" s="123"/>
      <c r="J5" s="123"/>
      <c r="K5" s="123"/>
      <c r="L5" s="1"/>
      <c r="M5" s="1"/>
      <c r="N5" s="1"/>
      <c r="O5" s="1"/>
      <c r="P5" s="1"/>
      <c r="Q5" s="1"/>
      <c r="R5" s="1"/>
      <c r="S5" s="1"/>
      <c r="T5" s="1"/>
      <c r="U5" s="1"/>
      <c r="V5" s="1"/>
      <c r="W5" s="1"/>
      <c r="X5" s="1"/>
      <c r="Y5" s="1"/>
      <c r="Z5" s="1"/>
      <c r="AA5" s="1"/>
      <c r="AB5" s="1"/>
      <c r="AC5" s="1"/>
      <c r="AD5" s="1"/>
    </row>
    <row r="6" spans="1:30" s="2" customFormat="1" x14ac:dyDescent="0.2">
      <c r="A6" s="121"/>
      <c r="B6" s="121"/>
      <c r="C6" s="121"/>
      <c r="D6" s="122"/>
      <c r="E6" s="122"/>
      <c r="F6" s="122"/>
      <c r="G6" s="122"/>
      <c r="H6" s="123"/>
      <c r="I6" s="123"/>
      <c r="J6" s="123"/>
      <c r="K6" s="123"/>
      <c r="L6" s="1"/>
      <c r="M6" s="1"/>
      <c r="N6" s="1"/>
      <c r="O6" s="1"/>
      <c r="P6" s="1"/>
      <c r="Q6" s="1"/>
      <c r="R6" s="1"/>
      <c r="S6" s="1"/>
      <c r="T6" s="1"/>
      <c r="U6" s="1"/>
      <c r="V6" s="1"/>
      <c r="W6" s="1"/>
      <c r="X6" s="1"/>
      <c r="Y6" s="1"/>
      <c r="Z6" s="1"/>
      <c r="AA6" s="1"/>
      <c r="AB6" s="1"/>
      <c r="AC6" s="1"/>
      <c r="AD6" s="1"/>
    </row>
    <row r="7" spans="1:30" s="2" customFormat="1" x14ac:dyDescent="0.2">
      <c r="A7" s="121"/>
      <c r="B7" s="121"/>
      <c r="C7" s="121"/>
      <c r="D7" s="122"/>
      <c r="E7" s="122"/>
      <c r="F7" s="122"/>
      <c r="G7" s="122"/>
      <c r="H7" s="123"/>
      <c r="I7" s="123"/>
      <c r="J7" s="123"/>
      <c r="K7" s="123"/>
      <c r="L7" s="1"/>
      <c r="M7" s="1"/>
      <c r="N7" s="1"/>
      <c r="O7" s="1"/>
      <c r="P7" s="1"/>
      <c r="Q7" s="1"/>
      <c r="R7" s="1"/>
      <c r="S7" s="1"/>
      <c r="T7" s="1"/>
      <c r="U7" s="1"/>
      <c r="V7" s="1"/>
      <c r="W7" s="1"/>
      <c r="X7" s="1"/>
      <c r="Y7" s="1"/>
      <c r="Z7" s="1"/>
      <c r="AA7" s="1"/>
      <c r="AB7" s="1"/>
      <c r="AC7" s="1"/>
      <c r="AD7" s="1"/>
    </row>
    <row r="8" spans="1:30" s="2" customFormat="1" ht="20.25" x14ac:dyDescent="0.3">
      <c r="A8" s="127" t="s">
        <v>165</v>
      </c>
      <c r="B8" s="121"/>
      <c r="C8" s="121"/>
      <c r="D8" s="122"/>
      <c r="E8" s="122"/>
      <c r="F8" s="122"/>
      <c r="G8" s="122"/>
      <c r="H8" s="123"/>
      <c r="I8" s="123"/>
      <c r="J8" s="123"/>
      <c r="K8" s="123"/>
      <c r="L8" s="1"/>
      <c r="M8" s="1"/>
      <c r="N8" s="1"/>
      <c r="O8" s="1"/>
      <c r="P8" s="1"/>
      <c r="Q8" s="1"/>
      <c r="R8" s="1"/>
      <c r="S8" s="1"/>
      <c r="T8" s="1"/>
      <c r="U8" s="1"/>
      <c r="V8" s="1"/>
      <c r="W8" s="1"/>
      <c r="X8" s="1"/>
      <c r="Y8" s="1"/>
      <c r="Z8" s="1"/>
      <c r="AA8" s="1"/>
      <c r="AB8" s="1"/>
      <c r="AC8" s="1"/>
      <c r="AD8" s="1"/>
    </row>
    <row r="9" spans="1:30" s="2" customFormat="1" ht="12.75" customHeight="1" x14ac:dyDescent="0.2">
      <c r="A9" s="226" t="s">
        <v>229</v>
      </c>
      <c r="B9" s="226"/>
      <c r="C9" s="226"/>
      <c r="D9" s="226"/>
      <c r="E9" s="226"/>
      <c r="F9" s="226"/>
      <c r="G9" s="226"/>
      <c r="H9" s="226"/>
      <c r="I9" s="226"/>
      <c r="J9" s="226"/>
      <c r="K9" s="226"/>
      <c r="L9" s="1"/>
      <c r="M9" s="1"/>
      <c r="N9" s="1"/>
      <c r="O9" s="1"/>
      <c r="P9" s="1"/>
      <c r="Q9" s="1"/>
      <c r="R9" s="1"/>
      <c r="S9" s="1"/>
      <c r="T9" s="1"/>
      <c r="U9" s="1"/>
      <c r="V9" s="1"/>
      <c r="W9" s="1"/>
      <c r="X9" s="1"/>
      <c r="Y9" s="1"/>
      <c r="Z9" s="1"/>
      <c r="AA9" s="1"/>
      <c r="AB9" s="1"/>
      <c r="AC9" s="1"/>
      <c r="AD9" s="1"/>
    </row>
    <row r="10" spans="1:30" s="2" customFormat="1" x14ac:dyDescent="0.2">
      <c r="A10" s="226"/>
      <c r="B10" s="226"/>
      <c r="C10" s="226"/>
      <c r="D10" s="226"/>
      <c r="E10" s="226"/>
      <c r="F10" s="226"/>
      <c r="G10" s="226"/>
      <c r="H10" s="226"/>
      <c r="I10" s="226"/>
      <c r="J10" s="226"/>
      <c r="K10" s="226"/>
      <c r="L10" s="1"/>
      <c r="M10" s="1"/>
      <c r="N10" s="1"/>
      <c r="O10" s="1"/>
      <c r="P10" s="1"/>
      <c r="Q10" s="1"/>
      <c r="R10" s="1"/>
      <c r="S10" s="1"/>
      <c r="T10" s="1"/>
      <c r="U10" s="1"/>
      <c r="V10" s="1"/>
      <c r="W10" s="1"/>
      <c r="X10" s="1"/>
      <c r="Y10" s="1"/>
      <c r="Z10" s="1"/>
      <c r="AA10" s="1"/>
      <c r="AB10" s="1"/>
      <c r="AC10" s="1"/>
      <c r="AD10" s="1"/>
    </row>
    <row r="11" spans="1:30" s="2" customFormat="1" x14ac:dyDescent="0.2">
      <c r="A11" s="226"/>
      <c r="B11" s="226"/>
      <c r="C11" s="226"/>
      <c r="D11" s="226"/>
      <c r="E11" s="226"/>
      <c r="F11" s="226"/>
      <c r="G11" s="226"/>
      <c r="H11" s="226"/>
      <c r="I11" s="226"/>
      <c r="J11" s="226"/>
      <c r="K11" s="226"/>
      <c r="L11" s="1"/>
      <c r="M11" s="1"/>
      <c r="N11" s="1"/>
      <c r="O11" s="1"/>
      <c r="P11" s="1"/>
      <c r="Q11" s="1"/>
      <c r="R11" s="1"/>
      <c r="S11" s="1"/>
      <c r="T11" s="1"/>
      <c r="U11" s="1"/>
      <c r="V11" s="1"/>
      <c r="W11" s="1"/>
      <c r="X11" s="1"/>
      <c r="Y11" s="1"/>
      <c r="Z11" s="1"/>
      <c r="AA11" s="1"/>
      <c r="AB11" s="1"/>
      <c r="AC11" s="1"/>
      <c r="AD11" s="1"/>
    </row>
    <row r="12" spans="1:30" s="2" customFormat="1" x14ac:dyDescent="0.2">
      <c r="A12" s="121"/>
      <c r="B12" s="121"/>
      <c r="C12" s="121"/>
      <c r="D12" s="122"/>
      <c r="E12" s="122"/>
      <c r="F12" s="122"/>
      <c r="G12" s="122"/>
      <c r="H12" s="123"/>
      <c r="I12" s="123"/>
      <c r="J12" s="123"/>
      <c r="K12" s="123"/>
      <c r="L12" s="1"/>
      <c r="M12" s="1"/>
      <c r="N12" s="1"/>
      <c r="O12" s="1"/>
      <c r="P12" s="1"/>
      <c r="Q12" s="1"/>
      <c r="R12" s="1"/>
      <c r="S12" s="1"/>
      <c r="T12" s="1"/>
      <c r="U12" s="1"/>
      <c r="V12" s="1"/>
      <c r="W12" s="1"/>
      <c r="X12" s="1"/>
      <c r="Y12" s="1"/>
      <c r="Z12" s="1"/>
      <c r="AA12" s="1"/>
      <c r="AB12" s="1"/>
      <c r="AC12" s="1"/>
      <c r="AD12" s="1"/>
    </row>
    <row r="13" spans="1:30" s="2" customFormat="1" ht="20.25" x14ac:dyDescent="0.3">
      <c r="A13" s="127" t="s">
        <v>166</v>
      </c>
      <c r="B13" s="121"/>
      <c r="C13" s="121"/>
      <c r="D13" s="122"/>
      <c r="E13" s="122"/>
      <c r="F13" s="122"/>
      <c r="G13" s="122"/>
      <c r="H13" s="123"/>
      <c r="I13" s="123"/>
      <c r="J13" s="123"/>
      <c r="K13" s="123"/>
      <c r="L13" s="1"/>
      <c r="M13" s="1"/>
      <c r="N13" s="1"/>
      <c r="O13" s="1"/>
      <c r="P13" s="1"/>
      <c r="Q13" s="1"/>
      <c r="R13" s="1"/>
      <c r="S13" s="1"/>
      <c r="T13" s="1"/>
      <c r="U13" s="1"/>
      <c r="V13" s="1"/>
      <c r="W13" s="1"/>
      <c r="X13" s="1"/>
      <c r="Y13" s="1"/>
      <c r="Z13" s="1"/>
      <c r="AA13" s="1"/>
      <c r="AB13" s="1"/>
      <c r="AC13" s="1"/>
      <c r="AD13" s="1"/>
    </row>
    <row r="14" spans="1:30" s="2" customFormat="1" x14ac:dyDescent="0.2">
      <c r="A14" s="128" t="s">
        <v>180</v>
      </c>
      <c r="B14" s="129"/>
      <c r="C14" s="129"/>
      <c r="D14" s="129"/>
      <c r="E14" s="129"/>
      <c r="F14" s="129"/>
      <c r="G14" s="129"/>
      <c r="H14" s="123"/>
      <c r="I14" s="123"/>
      <c r="J14" s="123"/>
      <c r="K14" s="123"/>
      <c r="L14" s="1"/>
      <c r="M14" s="1"/>
      <c r="N14" s="1"/>
      <c r="O14" s="1"/>
      <c r="P14" s="1"/>
      <c r="Q14" s="1"/>
      <c r="R14" s="1"/>
      <c r="S14" s="1"/>
      <c r="T14" s="1"/>
      <c r="U14" s="1"/>
      <c r="V14" s="1"/>
      <c r="W14" s="1"/>
      <c r="X14" s="1"/>
      <c r="Y14" s="1"/>
      <c r="Z14" s="1"/>
      <c r="AA14" s="1"/>
      <c r="AB14" s="1"/>
      <c r="AC14" s="1"/>
      <c r="AD14" s="1"/>
    </row>
    <row r="15" spans="1:30" s="2" customFormat="1" x14ac:dyDescent="0.2">
      <c r="A15" s="128" t="s">
        <v>192</v>
      </c>
      <c r="B15" s="129"/>
      <c r="C15" s="129"/>
      <c r="D15" s="129"/>
      <c r="E15" s="129"/>
      <c r="F15" s="129"/>
      <c r="G15" s="129"/>
      <c r="H15" s="123"/>
      <c r="I15" s="123"/>
      <c r="J15" s="123"/>
      <c r="K15" s="123"/>
      <c r="L15" s="1"/>
      <c r="M15" s="1"/>
      <c r="N15" s="1"/>
      <c r="O15" s="1"/>
      <c r="P15" s="1"/>
      <c r="Q15" s="1"/>
      <c r="R15" s="1"/>
      <c r="S15" s="1"/>
      <c r="T15" s="1"/>
      <c r="U15" s="1"/>
      <c r="V15" s="1"/>
      <c r="W15" s="1"/>
      <c r="X15" s="1"/>
      <c r="Y15" s="1"/>
      <c r="Z15" s="1"/>
      <c r="AA15" s="1"/>
      <c r="AB15" s="1"/>
      <c r="AC15" s="1"/>
      <c r="AD15" s="1"/>
    </row>
    <row r="16" spans="1:30" s="2" customFormat="1" x14ac:dyDescent="0.2">
      <c r="A16" s="128" t="s">
        <v>195</v>
      </c>
      <c r="B16" s="129"/>
      <c r="C16" s="129"/>
      <c r="D16" s="130"/>
      <c r="E16" s="130"/>
      <c r="F16" s="130"/>
      <c r="G16" s="130"/>
      <c r="H16" s="130"/>
      <c r="I16" s="130"/>
      <c r="J16" s="130"/>
      <c r="K16" s="130"/>
      <c r="L16" s="1"/>
      <c r="M16" s="1"/>
      <c r="N16" s="1"/>
      <c r="O16" s="1"/>
      <c r="P16" s="1"/>
      <c r="Q16" s="1"/>
      <c r="R16" s="1"/>
      <c r="S16" s="1"/>
      <c r="T16" s="1"/>
      <c r="U16" s="1"/>
      <c r="V16" s="1"/>
      <c r="W16" s="1"/>
      <c r="X16" s="1"/>
      <c r="Y16" s="1"/>
      <c r="Z16" s="1"/>
      <c r="AA16" s="1"/>
      <c r="AB16" s="1"/>
      <c r="AC16" s="1"/>
      <c r="AD16" s="1"/>
    </row>
    <row r="17" spans="1:30" s="2" customFormat="1" x14ac:dyDescent="0.2">
      <c r="A17" s="128" t="s">
        <v>46</v>
      </c>
      <c r="B17" s="129"/>
      <c r="C17" s="129"/>
      <c r="D17" s="130"/>
      <c r="E17" s="130"/>
      <c r="F17" s="130"/>
      <c r="G17" s="130"/>
      <c r="H17" s="130"/>
      <c r="I17" s="130"/>
      <c r="J17" s="130"/>
      <c r="K17" s="130"/>
      <c r="L17" s="1"/>
      <c r="M17" s="1"/>
      <c r="N17" s="1"/>
      <c r="O17" s="1"/>
      <c r="P17" s="1"/>
      <c r="Q17" s="1"/>
      <c r="R17" s="1"/>
      <c r="S17" s="1"/>
      <c r="T17" s="1"/>
      <c r="U17" s="1"/>
      <c r="V17" s="1"/>
      <c r="W17" s="1"/>
      <c r="X17" s="1"/>
      <c r="Y17" s="1"/>
      <c r="Z17" s="1"/>
      <c r="AA17" s="1"/>
      <c r="AB17" s="1"/>
      <c r="AC17" s="1"/>
      <c r="AD17" s="1"/>
    </row>
    <row r="18" spans="1:30" s="2" customFormat="1" x14ac:dyDescent="0.2">
      <c r="A18" s="128" t="s">
        <v>153</v>
      </c>
      <c r="B18" s="129"/>
      <c r="C18" s="129"/>
      <c r="D18" s="130"/>
      <c r="E18" s="130"/>
      <c r="F18" s="130"/>
      <c r="G18" s="130"/>
      <c r="H18" s="130"/>
      <c r="I18" s="130"/>
      <c r="J18" s="130"/>
      <c r="K18" s="130"/>
      <c r="L18" s="1"/>
      <c r="M18" s="1"/>
      <c r="N18" s="1"/>
      <c r="O18" s="1"/>
      <c r="P18" s="1"/>
      <c r="Q18" s="1"/>
      <c r="R18" s="1"/>
      <c r="S18" s="1"/>
      <c r="T18" s="1"/>
      <c r="U18" s="1"/>
      <c r="V18" s="1"/>
      <c r="W18" s="1"/>
      <c r="X18" s="1"/>
      <c r="Y18" s="1"/>
      <c r="Z18" s="1"/>
      <c r="AA18" s="1"/>
      <c r="AB18" s="1"/>
      <c r="AC18" s="1"/>
      <c r="AD18" s="1"/>
    </row>
    <row r="19" spans="1:30" s="2" customFormat="1" x14ac:dyDescent="0.2">
      <c r="A19" s="128" t="s">
        <v>150</v>
      </c>
      <c r="B19" s="129"/>
      <c r="C19" s="129"/>
      <c r="D19" s="130"/>
      <c r="E19" s="130"/>
      <c r="F19" s="130"/>
      <c r="G19" s="130"/>
      <c r="H19" s="130"/>
      <c r="I19" s="130"/>
      <c r="J19" s="130"/>
      <c r="K19" s="130"/>
      <c r="L19" s="1"/>
      <c r="M19" s="1"/>
      <c r="N19" s="1"/>
      <c r="O19" s="1"/>
      <c r="P19" s="1"/>
      <c r="Q19" s="1"/>
      <c r="R19" s="1"/>
      <c r="S19" s="1"/>
      <c r="T19" s="1"/>
      <c r="U19" s="1"/>
      <c r="V19" s="1"/>
      <c r="W19" s="1"/>
      <c r="X19" s="1"/>
      <c r="Y19" s="1"/>
      <c r="Z19" s="1"/>
      <c r="AA19" s="1"/>
      <c r="AB19" s="1"/>
      <c r="AC19" s="1"/>
      <c r="AD19" s="1"/>
    </row>
    <row r="20" spans="1:30" s="2" customFormat="1" x14ac:dyDescent="0.2">
      <c r="A20" s="128" t="s">
        <v>151</v>
      </c>
      <c r="B20" s="129"/>
      <c r="C20" s="129"/>
      <c r="D20" s="130"/>
      <c r="E20" s="130"/>
      <c r="F20" s="130"/>
      <c r="G20" s="130"/>
      <c r="H20" s="130"/>
      <c r="I20" s="130"/>
      <c r="J20" s="130"/>
      <c r="K20" s="130"/>
      <c r="L20" s="1"/>
      <c r="M20" s="1"/>
      <c r="N20" s="1"/>
      <c r="O20" s="1"/>
      <c r="P20" s="1"/>
      <c r="Q20" s="1"/>
      <c r="R20" s="1"/>
      <c r="S20" s="1"/>
      <c r="T20" s="1"/>
      <c r="U20" s="1"/>
      <c r="V20" s="1"/>
      <c r="W20" s="1"/>
      <c r="X20" s="1"/>
      <c r="Y20" s="1"/>
      <c r="Z20" s="1"/>
      <c r="AA20" s="1"/>
      <c r="AB20" s="1"/>
      <c r="AC20" s="1"/>
      <c r="AD20" s="1"/>
    </row>
    <row r="21" spans="1:30" s="2" customFormat="1" x14ac:dyDescent="0.2">
      <c r="A21" s="128" t="s">
        <v>152</v>
      </c>
      <c r="B21" s="129"/>
      <c r="C21" s="129"/>
      <c r="D21" s="130"/>
      <c r="E21" s="130"/>
      <c r="F21" s="130"/>
      <c r="G21" s="130"/>
      <c r="H21" s="130"/>
      <c r="I21" s="130"/>
      <c r="J21" s="130"/>
      <c r="K21" s="130"/>
      <c r="L21" s="1"/>
      <c r="M21" s="1"/>
      <c r="N21" s="1"/>
      <c r="O21" s="1"/>
      <c r="P21" s="1"/>
      <c r="Q21" s="1"/>
      <c r="R21" s="1"/>
      <c r="S21" s="1"/>
      <c r="T21" s="1"/>
      <c r="U21" s="1"/>
      <c r="V21" s="1"/>
      <c r="W21" s="1"/>
      <c r="X21" s="1"/>
      <c r="Y21" s="1"/>
      <c r="Z21" s="1"/>
      <c r="AA21" s="1"/>
      <c r="AB21" s="1"/>
      <c r="AC21" s="1"/>
      <c r="AD21" s="1"/>
    </row>
    <row r="22" spans="1:30" s="2" customFormat="1" x14ac:dyDescent="0.2">
      <c r="A22" s="131"/>
      <c r="B22" s="131"/>
      <c r="C22" s="131"/>
      <c r="D22" s="130"/>
      <c r="E22" s="130"/>
      <c r="F22" s="130"/>
      <c r="G22" s="130"/>
      <c r="H22" s="130"/>
      <c r="I22" s="130"/>
      <c r="J22" s="130"/>
      <c r="K22" s="130"/>
      <c r="L22" s="1"/>
      <c r="M22" s="1"/>
      <c r="N22" s="1"/>
      <c r="O22" s="1"/>
      <c r="P22" s="1"/>
      <c r="Q22" s="1"/>
      <c r="R22" s="1"/>
      <c r="S22" s="1"/>
      <c r="T22" s="1"/>
      <c r="U22" s="1"/>
      <c r="V22" s="1"/>
      <c r="W22" s="1"/>
      <c r="X22" s="1"/>
      <c r="Y22" s="1"/>
      <c r="Z22" s="1"/>
      <c r="AA22" s="1"/>
      <c r="AB22" s="1"/>
      <c r="AC22" s="1"/>
      <c r="AD22" s="1"/>
    </row>
    <row r="23" spans="1:30" s="2" customFormat="1" ht="20.25" x14ac:dyDescent="0.3">
      <c r="A23" s="127" t="s">
        <v>180</v>
      </c>
      <c r="B23" s="132"/>
      <c r="C23" s="133"/>
      <c r="D23" s="122"/>
      <c r="E23" s="122"/>
      <c r="F23" s="130"/>
      <c r="G23" s="130"/>
      <c r="H23" s="130"/>
      <c r="I23" s="130"/>
      <c r="J23" s="130"/>
      <c r="K23" s="123"/>
      <c r="L23" s="1"/>
      <c r="M23" s="1"/>
      <c r="N23" s="1"/>
      <c r="O23" s="1"/>
      <c r="P23" s="1"/>
      <c r="Q23" s="1"/>
      <c r="R23" s="1"/>
      <c r="S23" s="1"/>
      <c r="T23" s="1"/>
      <c r="U23" s="1"/>
      <c r="V23" s="1"/>
      <c r="W23" s="1"/>
      <c r="X23" s="1"/>
      <c r="Y23" s="1"/>
      <c r="Z23" s="1"/>
      <c r="AA23" s="1"/>
      <c r="AB23" s="1"/>
      <c r="AC23" s="1"/>
      <c r="AD23" s="1"/>
    </row>
    <row r="24" spans="1:30" s="2" customFormat="1" ht="12.75" customHeight="1" x14ac:dyDescent="0.25">
      <c r="A24" s="134" t="s">
        <v>190</v>
      </c>
      <c r="B24" s="135"/>
      <c r="C24" s="136"/>
      <c r="D24" s="122"/>
      <c r="E24" s="122"/>
      <c r="F24" s="122"/>
      <c r="G24" s="122"/>
      <c r="H24" s="123"/>
      <c r="I24" s="123"/>
      <c r="J24" s="123"/>
      <c r="K24" s="123"/>
      <c r="L24" s="1"/>
      <c r="M24" s="1"/>
      <c r="N24" s="1"/>
      <c r="O24" s="1"/>
      <c r="P24" s="1"/>
      <c r="Q24" s="1"/>
      <c r="R24" s="1"/>
      <c r="S24" s="1"/>
      <c r="T24" s="1"/>
      <c r="U24" s="1"/>
      <c r="V24" s="1"/>
      <c r="W24" s="1"/>
      <c r="X24" s="1"/>
      <c r="Y24" s="1"/>
      <c r="Z24" s="1"/>
      <c r="AA24" s="1"/>
      <c r="AB24" s="1"/>
      <c r="AC24" s="1"/>
      <c r="AD24" s="1"/>
    </row>
    <row r="25" spans="1:30" s="2" customFormat="1" ht="12.75" customHeight="1" x14ac:dyDescent="0.25">
      <c r="A25" s="134"/>
      <c r="B25" s="135"/>
      <c r="C25" s="136"/>
      <c r="D25" s="122"/>
      <c r="E25" s="122"/>
      <c r="F25" s="122"/>
      <c r="G25" s="122"/>
      <c r="H25" s="123"/>
      <c r="I25" s="123"/>
      <c r="J25" s="123"/>
      <c r="K25" s="123"/>
      <c r="L25" s="1"/>
      <c r="M25" s="1"/>
      <c r="N25" s="1"/>
      <c r="O25" s="1"/>
      <c r="P25" s="1"/>
      <c r="Q25" s="1"/>
      <c r="R25" s="1"/>
      <c r="S25" s="1"/>
      <c r="T25" s="1"/>
      <c r="U25" s="1"/>
      <c r="V25" s="1"/>
      <c r="W25" s="1"/>
      <c r="X25" s="1"/>
      <c r="Y25" s="1"/>
      <c r="Z25" s="1"/>
      <c r="AA25" s="1"/>
      <c r="AB25" s="1"/>
      <c r="AC25" s="1"/>
      <c r="AD25" s="1"/>
    </row>
    <row r="26" spans="1:30" s="2" customFormat="1" x14ac:dyDescent="0.2">
      <c r="A26" s="137"/>
      <c r="B26" s="233" t="s">
        <v>216</v>
      </c>
      <c r="C26" s="233"/>
      <c r="D26" s="233"/>
      <c r="E26" s="233"/>
      <c r="F26" s="138"/>
      <c r="G26" s="123"/>
      <c r="H26" s="123"/>
      <c r="I26" s="123"/>
      <c r="J26" s="123"/>
      <c r="K26" s="123"/>
      <c r="L26" s="1"/>
      <c r="M26" s="1"/>
      <c r="N26" s="1"/>
      <c r="O26" s="1"/>
      <c r="P26" s="1"/>
      <c r="Q26" s="3"/>
      <c r="R26" s="3"/>
      <c r="S26" s="3"/>
      <c r="T26" s="3"/>
      <c r="U26" s="3"/>
      <c r="V26" s="3"/>
      <c r="W26" s="3"/>
      <c r="X26" s="3"/>
      <c r="Y26" s="1"/>
      <c r="Z26" s="1"/>
      <c r="AA26" s="1"/>
      <c r="AB26" s="1"/>
      <c r="AC26" s="1"/>
      <c r="AD26" s="1"/>
    </row>
    <row r="27" spans="1:30" s="2" customFormat="1" x14ac:dyDescent="0.2">
      <c r="A27" s="139" t="s">
        <v>185</v>
      </c>
      <c r="B27" s="237"/>
      <c r="C27" s="237"/>
      <c r="D27" s="237"/>
      <c r="E27" s="237"/>
      <c r="F27" s="140"/>
      <c r="G27" s="123"/>
      <c r="H27" s="123"/>
      <c r="I27" s="123"/>
      <c r="J27" s="123"/>
      <c r="K27" s="123"/>
      <c r="L27" s="1"/>
      <c r="M27" s="1"/>
      <c r="N27" s="1"/>
      <c r="O27" s="1"/>
      <c r="P27" s="1"/>
      <c r="Q27" s="3"/>
      <c r="R27" s="3"/>
      <c r="S27" s="3"/>
      <c r="T27" s="3"/>
      <c r="U27" s="3"/>
      <c r="V27" s="3"/>
      <c r="W27" s="3"/>
      <c r="X27" s="3"/>
      <c r="Y27" s="1"/>
      <c r="Z27" s="1"/>
      <c r="AA27" s="1"/>
      <c r="AB27" s="1"/>
      <c r="AC27" s="1"/>
      <c r="AD27" s="1"/>
    </row>
    <row r="28" spans="1:30" s="2" customFormat="1" x14ac:dyDescent="0.2">
      <c r="A28" s="139" t="s">
        <v>186</v>
      </c>
      <c r="B28" s="237"/>
      <c r="C28" s="238"/>
      <c r="D28" s="238"/>
      <c r="E28" s="238"/>
      <c r="F28" s="122"/>
      <c r="G28" s="122"/>
      <c r="H28" s="123"/>
      <c r="I28" s="123"/>
      <c r="J28" s="123"/>
      <c r="K28" s="123"/>
      <c r="L28" s="1"/>
      <c r="M28" s="1"/>
      <c r="N28" s="1"/>
      <c r="O28" s="1"/>
      <c r="P28" s="1"/>
      <c r="Q28" s="1"/>
      <c r="R28" s="1"/>
      <c r="S28" s="1"/>
      <c r="T28" s="1"/>
      <c r="U28" s="1"/>
      <c r="V28" s="1"/>
      <c r="W28" s="1"/>
      <c r="X28" s="1"/>
      <c r="Y28" s="1"/>
      <c r="Z28" s="1"/>
      <c r="AA28" s="1"/>
      <c r="AB28" s="1"/>
      <c r="AC28" s="1"/>
      <c r="AD28" s="1"/>
    </row>
    <row r="29" spans="1:30" s="2" customFormat="1" x14ac:dyDescent="0.2">
      <c r="A29" s="139" t="s">
        <v>187</v>
      </c>
      <c r="B29" s="237"/>
      <c r="C29" s="238"/>
      <c r="D29" s="238"/>
      <c r="E29" s="238"/>
      <c r="F29" s="122"/>
      <c r="G29" s="122"/>
      <c r="H29" s="123"/>
      <c r="I29" s="123"/>
      <c r="J29" s="123"/>
      <c r="K29" s="123"/>
      <c r="L29" s="1"/>
      <c r="M29" s="1"/>
      <c r="N29" s="1"/>
      <c r="O29" s="1"/>
      <c r="P29" s="1"/>
      <c r="Q29" s="1"/>
      <c r="R29" s="1"/>
      <c r="S29" s="1"/>
      <c r="T29" s="1"/>
      <c r="U29" s="1"/>
      <c r="V29" s="1"/>
      <c r="W29" s="1"/>
      <c r="X29" s="1"/>
      <c r="Y29" s="1"/>
      <c r="Z29" s="1"/>
      <c r="AA29" s="1"/>
      <c r="AB29" s="1"/>
      <c r="AC29" s="1"/>
      <c r="AD29" s="1"/>
    </row>
    <row r="30" spans="1:30" s="2" customFormat="1" x14ac:dyDescent="0.2">
      <c r="A30" s="139" t="s">
        <v>188</v>
      </c>
      <c r="B30" s="237"/>
      <c r="C30" s="238"/>
      <c r="D30" s="238"/>
      <c r="E30" s="238"/>
      <c r="F30" s="122"/>
      <c r="G30" s="122"/>
      <c r="H30" s="123"/>
      <c r="I30" s="123"/>
      <c r="J30" s="123"/>
      <c r="K30" s="123"/>
      <c r="L30" s="1"/>
      <c r="M30" s="1"/>
      <c r="N30" s="1"/>
      <c r="O30" s="1"/>
      <c r="P30" s="1"/>
      <c r="Q30" s="1"/>
      <c r="R30" s="1"/>
      <c r="S30" s="1"/>
      <c r="T30" s="1"/>
      <c r="U30" s="1"/>
      <c r="V30" s="1"/>
      <c r="W30" s="1"/>
      <c r="X30" s="1"/>
      <c r="Y30" s="1"/>
      <c r="Z30" s="1"/>
      <c r="AA30" s="1"/>
      <c r="AB30" s="1"/>
      <c r="AC30" s="1"/>
      <c r="AD30" s="1"/>
    </row>
    <row r="31" spans="1:30" s="2" customFormat="1" x14ac:dyDescent="0.2">
      <c r="A31" s="139" t="s">
        <v>189</v>
      </c>
      <c r="B31" s="231"/>
      <c r="C31" s="232"/>
      <c r="D31" s="232"/>
      <c r="E31" s="232"/>
      <c r="F31" s="122"/>
      <c r="G31" s="122"/>
      <c r="H31" s="123"/>
      <c r="I31" s="123"/>
      <c r="J31" s="123"/>
      <c r="K31" s="123"/>
      <c r="L31" s="1"/>
      <c r="M31" s="1"/>
      <c r="N31" s="1"/>
      <c r="O31" s="1"/>
      <c r="P31" s="1"/>
      <c r="Q31" s="1"/>
      <c r="R31" s="1"/>
      <c r="S31" s="1"/>
      <c r="T31" s="1"/>
      <c r="U31" s="1"/>
      <c r="V31" s="1"/>
      <c r="W31" s="1"/>
      <c r="X31" s="1"/>
      <c r="Y31" s="1"/>
      <c r="Z31" s="1"/>
      <c r="AA31" s="1"/>
      <c r="AB31" s="1"/>
      <c r="AC31" s="1"/>
      <c r="AD31" s="1"/>
    </row>
    <row r="32" spans="1:30" s="2" customFormat="1" x14ac:dyDescent="0.2">
      <c r="A32" s="141"/>
      <c r="B32" s="142"/>
      <c r="C32" s="140"/>
      <c r="D32" s="122"/>
      <c r="E32" s="122"/>
      <c r="F32" s="122"/>
      <c r="G32" s="122"/>
      <c r="H32" s="123"/>
      <c r="I32" s="123"/>
      <c r="J32" s="123"/>
      <c r="K32" s="123"/>
      <c r="L32" s="1"/>
      <c r="M32" s="1"/>
      <c r="N32" s="1"/>
      <c r="O32" s="1"/>
      <c r="P32" s="1"/>
      <c r="Q32" s="1"/>
      <c r="R32" s="1"/>
      <c r="S32" s="1"/>
      <c r="T32" s="1"/>
      <c r="U32" s="1"/>
      <c r="V32" s="1"/>
      <c r="W32" s="1"/>
      <c r="X32" s="1"/>
      <c r="Y32" s="1"/>
      <c r="Z32" s="1"/>
      <c r="AA32" s="1"/>
      <c r="AB32" s="1"/>
      <c r="AC32" s="1"/>
      <c r="AD32" s="1"/>
    </row>
    <row r="33" spans="1:30" s="2" customFormat="1" x14ac:dyDescent="0.2">
      <c r="A33" s="137" t="s">
        <v>215</v>
      </c>
      <c r="B33" s="178"/>
      <c r="C33" s="178"/>
      <c r="D33" s="179"/>
      <c r="E33" s="179"/>
      <c r="F33" s="179"/>
      <c r="G33" s="179"/>
      <c r="H33" s="123"/>
      <c r="I33" s="123"/>
      <c r="J33" s="123"/>
      <c r="K33" s="123"/>
      <c r="L33" s="1"/>
      <c r="M33" s="1"/>
      <c r="N33" s="1"/>
      <c r="O33" s="1"/>
      <c r="P33" s="1"/>
      <c r="Q33" s="3"/>
      <c r="R33" s="3"/>
      <c r="S33" s="3"/>
      <c r="T33" s="3"/>
      <c r="U33" s="3"/>
      <c r="V33" s="3"/>
      <c r="W33" s="3"/>
      <c r="X33" s="3"/>
      <c r="Y33" s="1"/>
      <c r="Z33" s="1"/>
      <c r="AA33" s="1"/>
      <c r="AB33" s="1"/>
      <c r="AC33" s="1"/>
      <c r="AD33" s="1"/>
    </row>
    <row r="34" spans="1:30" s="2" customFormat="1" x14ac:dyDescent="0.2">
      <c r="A34" s="137"/>
      <c r="B34" s="123"/>
      <c r="C34" s="123"/>
      <c r="D34" s="123"/>
      <c r="E34" s="123"/>
      <c r="F34" s="123"/>
      <c r="G34" s="123"/>
      <c r="H34" s="123"/>
      <c r="I34" s="123"/>
      <c r="J34" s="123"/>
      <c r="K34" s="123"/>
      <c r="L34" s="1"/>
      <c r="M34" s="1"/>
      <c r="N34" s="4"/>
      <c r="O34" s="1"/>
      <c r="P34" s="1"/>
      <c r="Q34" s="3"/>
      <c r="R34" s="3"/>
      <c r="S34" s="3"/>
      <c r="T34" s="3"/>
      <c r="U34" s="3"/>
      <c r="V34" s="3"/>
      <c r="W34" s="3"/>
      <c r="X34" s="3"/>
      <c r="Y34" s="1"/>
      <c r="Z34" s="1"/>
      <c r="AA34" s="1"/>
      <c r="AB34" s="1"/>
      <c r="AC34" s="1"/>
      <c r="AD34" s="1"/>
    </row>
    <row r="35" spans="1:30" s="2" customFormat="1" x14ac:dyDescent="0.2">
      <c r="A35" s="134" t="str">
        <f>$B$27&amp; " % total time"</f>
        <v xml:space="preserve"> % total time</v>
      </c>
      <c r="B35" s="180"/>
      <c r="C35" s="180"/>
      <c r="D35" s="180"/>
      <c r="E35" s="180"/>
      <c r="F35" s="180"/>
      <c r="G35" s="180"/>
      <c r="H35" s="123"/>
      <c r="I35" s="123"/>
      <c r="J35" s="123"/>
      <c r="K35" s="123"/>
      <c r="L35" s="1"/>
      <c r="M35" s="1"/>
      <c r="N35" s="4"/>
      <c r="O35" s="1"/>
      <c r="P35" s="1"/>
      <c r="Q35" s="3"/>
      <c r="R35" s="3"/>
      <c r="S35" s="3"/>
      <c r="T35" s="3"/>
      <c r="U35" s="3"/>
      <c r="V35" s="3"/>
      <c r="W35" s="3"/>
      <c r="X35" s="3"/>
      <c r="Y35" s="1"/>
      <c r="Z35" s="1"/>
      <c r="AA35" s="1"/>
      <c r="AB35" s="1"/>
      <c r="AC35" s="1"/>
      <c r="AD35" s="1"/>
    </row>
    <row r="36" spans="1:30" s="2" customFormat="1" x14ac:dyDescent="0.2">
      <c r="A36" s="134" t="str">
        <f>$B$27&amp; " % time in ECA"</f>
        <v xml:space="preserve"> % time in ECA</v>
      </c>
      <c r="B36" s="180"/>
      <c r="C36" s="180"/>
      <c r="D36" s="180"/>
      <c r="E36" s="180"/>
      <c r="F36" s="180"/>
      <c r="G36" s="180"/>
      <c r="H36" s="123"/>
      <c r="I36" s="123"/>
      <c r="J36" s="123"/>
      <c r="K36" s="123"/>
      <c r="L36" s="1"/>
      <c r="M36" s="1"/>
      <c r="N36" s="4"/>
      <c r="O36" s="1"/>
      <c r="P36" s="1"/>
      <c r="Q36" s="3"/>
      <c r="R36" s="3"/>
      <c r="S36" s="3"/>
      <c r="T36" s="3"/>
      <c r="U36" s="3"/>
      <c r="V36" s="3"/>
      <c r="W36" s="3"/>
      <c r="X36" s="3"/>
      <c r="Y36" s="1"/>
      <c r="Z36" s="1"/>
      <c r="AA36" s="1"/>
      <c r="AB36" s="1"/>
      <c r="AC36" s="1"/>
      <c r="AD36" s="1"/>
    </row>
    <row r="37" spans="1:30" s="2" customFormat="1" x14ac:dyDescent="0.2">
      <c r="A37" s="134" t="str">
        <f>$B$27&amp; " time in ECA (% of total)"</f>
        <v xml:space="preserve"> time in ECA (% of total)</v>
      </c>
      <c r="B37" s="143">
        <f t="shared" ref="B37:G37" si="0">B36*B35</f>
        <v>0</v>
      </c>
      <c r="C37" s="143">
        <f t="shared" si="0"/>
        <v>0</v>
      </c>
      <c r="D37" s="143">
        <f t="shared" si="0"/>
        <v>0</v>
      </c>
      <c r="E37" s="143">
        <f t="shared" si="0"/>
        <v>0</v>
      </c>
      <c r="F37" s="143">
        <f t="shared" si="0"/>
        <v>0</v>
      </c>
      <c r="G37" s="143">
        <f t="shared" si="0"/>
        <v>0</v>
      </c>
      <c r="H37" s="123"/>
      <c r="I37" s="123"/>
      <c r="J37" s="123"/>
      <c r="K37" s="123"/>
      <c r="L37" s="1"/>
      <c r="M37" s="1"/>
      <c r="N37" s="4"/>
      <c r="O37" s="1"/>
      <c r="P37" s="1"/>
      <c r="Q37" s="3"/>
      <c r="R37" s="3"/>
      <c r="S37" s="3"/>
      <c r="T37" s="3"/>
      <c r="U37" s="3"/>
      <c r="V37" s="3"/>
      <c r="W37" s="3"/>
      <c r="X37" s="3"/>
      <c r="Y37" s="1"/>
      <c r="Z37" s="1"/>
      <c r="AA37" s="1"/>
      <c r="AB37" s="1"/>
      <c r="AC37" s="1"/>
      <c r="AD37" s="1"/>
    </row>
    <row r="38" spans="1:30" s="2" customFormat="1" x14ac:dyDescent="0.2">
      <c r="A38" s="134"/>
      <c r="B38" s="143"/>
      <c r="C38" s="143"/>
      <c r="D38" s="143"/>
      <c r="E38" s="143"/>
      <c r="F38" s="143"/>
      <c r="G38" s="143"/>
      <c r="H38" s="123"/>
      <c r="I38" s="123"/>
      <c r="J38" s="123"/>
      <c r="K38" s="123"/>
      <c r="L38" s="1"/>
      <c r="M38" s="1"/>
      <c r="N38" s="4"/>
      <c r="O38" s="1"/>
      <c r="P38" s="1"/>
      <c r="Q38" s="3"/>
      <c r="R38" s="3"/>
      <c r="S38" s="3"/>
      <c r="T38" s="3"/>
      <c r="U38" s="3"/>
      <c r="V38" s="3"/>
      <c r="W38" s="3"/>
      <c r="X38" s="3"/>
      <c r="Y38" s="1"/>
      <c r="Z38" s="1"/>
      <c r="AA38" s="1"/>
      <c r="AB38" s="1"/>
      <c r="AC38" s="1"/>
      <c r="AD38" s="1"/>
    </row>
    <row r="39" spans="1:30" s="2" customFormat="1" x14ac:dyDescent="0.2">
      <c r="A39" s="134" t="str">
        <f>$B$28&amp; " % total time"</f>
        <v xml:space="preserve"> % total time</v>
      </c>
      <c r="B39" s="180"/>
      <c r="C39" s="180"/>
      <c r="D39" s="180"/>
      <c r="E39" s="180"/>
      <c r="F39" s="180"/>
      <c r="G39" s="180"/>
      <c r="H39" s="123"/>
      <c r="I39" s="123"/>
      <c r="J39" s="123"/>
      <c r="K39" s="123"/>
      <c r="L39" s="1"/>
      <c r="M39" s="1"/>
      <c r="N39" s="4"/>
      <c r="O39" s="1"/>
      <c r="P39" s="1"/>
      <c r="Q39" s="3"/>
      <c r="R39" s="3"/>
      <c r="S39" s="3"/>
      <c r="T39" s="3"/>
      <c r="U39" s="3"/>
      <c r="V39" s="3"/>
      <c r="W39" s="3"/>
      <c r="X39" s="3"/>
      <c r="Y39" s="1"/>
      <c r="Z39" s="1"/>
      <c r="AA39" s="1"/>
      <c r="AB39" s="1"/>
      <c r="AC39" s="1"/>
      <c r="AD39" s="1"/>
    </row>
    <row r="40" spans="1:30" s="2" customFormat="1" x14ac:dyDescent="0.2">
      <c r="A40" s="134" t="str">
        <f>$B$28&amp; " % time in ECA"</f>
        <v xml:space="preserve"> % time in ECA</v>
      </c>
      <c r="B40" s="180"/>
      <c r="C40" s="180"/>
      <c r="D40" s="180"/>
      <c r="E40" s="180"/>
      <c r="F40" s="180"/>
      <c r="G40" s="180"/>
      <c r="H40" s="123"/>
      <c r="I40" s="123"/>
      <c r="J40" s="123"/>
      <c r="K40" s="123"/>
      <c r="L40" s="1"/>
      <c r="M40" s="1"/>
      <c r="N40" s="4"/>
      <c r="O40" s="1"/>
      <c r="P40" s="1"/>
      <c r="Q40" s="3"/>
      <c r="R40" s="3"/>
      <c r="S40" s="3"/>
      <c r="T40" s="3"/>
      <c r="U40" s="3"/>
      <c r="V40" s="3"/>
      <c r="W40" s="3"/>
      <c r="X40" s="3"/>
      <c r="Y40" s="1"/>
      <c r="Z40" s="1"/>
      <c r="AA40" s="1"/>
      <c r="AB40" s="1"/>
      <c r="AC40" s="1"/>
      <c r="AD40" s="1"/>
    </row>
    <row r="41" spans="1:30" s="2" customFormat="1" x14ac:dyDescent="0.2">
      <c r="A41" s="134" t="str">
        <f>$B$28&amp; " time in ECA (% of total)"</f>
        <v xml:space="preserve"> time in ECA (% of total)</v>
      </c>
      <c r="B41" s="143">
        <f t="shared" ref="B41:G41" si="1">B40*B39</f>
        <v>0</v>
      </c>
      <c r="C41" s="143">
        <f t="shared" si="1"/>
        <v>0</v>
      </c>
      <c r="D41" s="143">
        <f t="shared" si="1"/>
        <v>0</v>
      </c>
      <c r="E41" s="143">
        <f t="shared" si="1"/>
        <v>0</v>
      </c>
      <c r="F41" s="143">
        <f t="shared" si="1"/>
        <v>0</v>
      </c>
      <c r="G41" s="143">
        <f t="shared" si="1"/>
        <v>0</v>
      </c>
      <c r="H41" s="123"/>
      <c r="I41" s="123"/>
      <c r="J41" s="123"/>
      <c r="K41" s="123"/>
      <c r="L41" s="1"/>
      <c r="P41" s="1"/>
      <c r="Q41" s="3"/>
      <c r="R41" s="3"/>
      <c r="S41" s="3"/>
      <c r="T41" s="3"/>
      <c r="U41" s="3"/>
      <c r="V41" s="3"/>
      <c r="W41" s="3"/>
      <c r="X41" s="3"/>
      <c r="Y41" s="1"/>
      <c r="Z41" s="1"/>
      <c r="AA41" s="1"/>
      <c r="AB41" s="1"/>
      <c r="AC41" s="1"/>
      <c r="AD41" s="1"/>
    </row>
    <row r="42" spans="1:30" s="2" customFormat="1" x14ac:dyDescent="0.2">
      <c r="A42" s="134"/>
      <c r="B42" s="143"/>
      <c r="C42" s="143"/>
      <c r="D42" s="143"/>
      <c r="E42" s="143"/>
      <c r="F42" s="143"/>
      <c r="G42" s="143"/>
      <c r="H42" s="123"/>
      <c r="I42" s="123"/>
      <c r="J42" s="123"/>
      <c r="K42" s="123"/>
      <c r="L42" s="1"/>
      <c r="P42" s="1"/>
      <c r="Q42" s="3"/>
      <c r="R42" s="3"/>
      <c r="S42" s="3"/>
      <c r="T42" s="3"/>
      <c r="U42" s="3"/>
      <c r="V42" s="3"/>
      <c r="W42" s="3"/>
      <c r="X42" s="3"/>
      <c r="Y42" s="1"/>
      <c r="Z42" s="1"/>
      <c r="AA42" s="1"/>
      <c r="AB42" s="1"/>
      <c r="AC42" s="1"/>
      <c r="AD42" s="1"/>
    </row>
    <row r="43" spans="1:30" s="2" customFormat="1" x14ac:dyDescent="0.2">
      <c r="A43" s="134" t="str">
        <f>$B$29&amp; " % total time"</f>
        <v xml:space="preserve"> % total time</v>
      </c>
      <c r="B43" s="181"/>
      <c r="C43" s="181"/>
      <c r="D43" s="182"/>
      <c r="E43" s="182"/>
      <c r="F43" s="182"/>
      <c r="G43" s="182"/>
      <c r="H43" s="123"/>
      <c r="I43" s="123"/>
      <c r="J43" s="123"/>
      <c r="K43" s="123"/>
      <c r="L43" s="1"/>
      <c r="P43" s="1"/>
      <c r="Q43" s="3"/>
      <c r="R43" s="3"/>
      <c r="S43" s="3"/>
      <c r="T43" s="3"/>
      <c r="U43" s="3"/>
      <c r="V43" s="3"/>
      <c r="W43" s="3"/>
      <c r="X43" s="3"/>
      <c r="Y43" s="1"/>
      <c r="Z43" s="1"/>
      <c r="AA43" s="1"/>
      <c r="AB43" s="1"/>
      <c r="AC43" s="1"/>
      <c r="AD43" s="1"/>
    </row>
    <row r="44" spans="1:30" s="2" customFormat="1" x14ac:dyDescent="0.2">
      <c r="A44" s="134" t="str">
        <f>$B$29&amp; " % time in ECA"</f>
        <v xml:space="preserve"> % time in ECA</v>
      </c>
      <c r="B44" s="183"/>
      <c r="C44" s="182"/>
      <c r="D44" s="182"/>
      <c r="E44" s="182"/>
      <c r="F44" s="182"/>
      <c r="G44" s="182"/>
      <c r="H44" s="123"/>
      <c r="I44" s="123"/>
      <c r="J44" s="123"/>
      <c r="K44" s="123"/>
      <c r="L44" s="1"/>
      <c r="P44" s="1"/>
      <c r="Q44" s="3"/>
      <c r="R44" s="3"/>
      <c r="S44" s="3"/>
      <c r="T44" s="3"/>
      <c r="U44" s="3"/>
      <c r="V44" s="3"/>
      <c r="W44" s="3"/>
      <c r="X44" s="3"/>
      <c r="Y44" s="1"/>
      <c r="Z44" s="1"/>
      <c r="AA44" s="1"/>
      <c r="AB44" s="1"/>
      <c r="AC44" s="1"/>
      <c r="AD44" s="1"/>
    </row>
    <row r="45" spans="1:30" s="2" customFormat="1" x14ac:dyDescent="0.2">
      <c r="A45" s="134" t="str">
        <f>$B$29&amp; " time in ECA (% of total)"</f>
        <v xml:space="preserve"> time in ECA (% of total)</v>
      </c>
      <c r="B45" s="143">
        <f t="shared" ref="B45:G45" si="2">B44*B43</f>
        <v>0</v>
      </c>
      <c r="C45" s="143">
        <f t="shared" si="2"/>
        <v>0</v>
      </c>
      <c r="D45" s="143">
        <f t="shared" si="2"/>
        <v>0</v>
      </c>
      <c r="E45" s="143">
        <f t="shared" si="2"/>
        <v>0</v>
      </c>
      <c r="F45" s="143">
        <f t="shared" si="2"/>
        <v>0</v>
      </c>
      <c r="G45" s="143">
        <f t="shared" si="2"/>
        <v>0</v>
      </c>
      <c r="H45" s="123"/>
      <c r="I45" s="123"/>
      <c r="J45" s="123"/>
      <c r="K45" s="123"/>
      <c r="L45" s="1"/>
      <c r="P45" s="1"/>
      <c r="Q45" s="3"/>
      <c r="R45" s="3"/>
      <c r="S45" s="3"/>
      <c r="T45" s="3"/>
      <c r="U45" s="3"/>
      <c r="V45" s="3"/>
      <c r="W45" s="3"/>
      <c r="X45" s="3"/>
      <c r="Y45" s="1"/>
      <c r="Z45" s="1"/>
      <c r="AA45" s="1"/>
      <c r="AB45" s="1"/>
      <c r="AC45" s="1"/>
      <c r="AD45" s="1"/>
    </row>
    <row r="46" spans="1:30" s="2" customFormat="1" x14ac:dyDescent="0.2">
      <c r="A46" s="134"/>
      <c r="B46" s="143"/>
      <c r="C46" s="143"/>
      <c r="D46" s="143"/>
      <c r="E46" s="143"/>
      <c r="F46" s="143"/>
      <c r="G46" s="143"/>
      <c r="H46" s="123"/>
      <c r="I46" s="123"/>
      <c r="J46" s="123"/>
      <c r="K46" s="123"/>
      <c r="L46" s="1"/>
      <c r="P46" s="1"/>
      <c r="Q46" s="3"/>
      <c r="R46" s="3"/>
      <c r="S46" s="3"/>
      <c r="T46" s="3"/>
      <c r="U46" s="3"/>
      <c r="V46" s="3"/>
      <c r="W46" s="3"/>
      <c r="X46" s="3"/>
      <c r="Y46" s="1"/>
      <c r="Z46" s="1"/>
      <c r="AA46" s="1"/>
      <c r="AB46" s="1"/>
      <c r="AC46" s="1"/>
      <c r="AD46" s="1"/>
    </row>
    <row r="47" spans="1:30" s="2" customFormat="1" x14ac:dyDescent="0.2">
      <c r="A47" s="134" t="str">
        <f>$B$30&amp; " % total time"</f>
        <v xml:space="preserve"> % total time</v>
      </c>
      <c r="B47" s="181"/>
      <c r="C47" s="181"/>
      <c r="D47" s="182"/>
      <c r="E47" s="182"/>
      <c r="F47" s="182"/>
      <c r="G47" s="182"/>
      <c r="H47" s="123"/>
      <c r="I47" s="123"/>
      <c r="J47" s="123"/>
      <c r="K47" s="123"/>
      <c r="L47" s="1"/>
      <c r="P47" s="1"/>
      <c r="Q47" s="3"/>
      <c r="R47" s="3"/>
      <c r="S47" s="3"/>
      <c r="T47" s="3"/>
      <c r="U47" s="3"/>
      <c r="V47" s="3"/>
      <c r="W47" s="3"/>
      <c r="X47" s="3"/>
      <c r="Y47" s="1"/>
      <c r="Z47" s="1"/>
      <c r="AA47" s="1"/>
      <c r="AB47" s="1"/>
      <c r="AC47" s="1"/>
      <c r="AD47" s="1"/>
    </row>
    <row r="48" spans="1:30" s="2" customFormat="1" x14ac:dyDescent="0.2">
      <c r="A48" s="134" t="str">
        <f>$B$30&amp; " % time in ECA"</f>
        <v xml:space="preserve"> % time in ECA</v>
      </c>
      <c r="B48" s="183"/>
      <c r="C48" s="182"/>
      <c r="D48" s="182"/>
      <c r="E48" s="182"/>
      <c r="F48" s="182"/>
      <c r="G48" s="182"/>
      <c r="H48" s="123"/>
      <c r="I48" s="123"/>
      <c r="J48" s="123"/>
      <c r="K48" s="123"/>
      <c r="L48" s="1"/>
      <c r="P48" s="1"/>
      <c r="Q48" s="3"/>
      <c r="R48" s="3"/>
      <c r="S48" s="3"/>
      <c r="T48" s="3"/>
      <c r="U48" s="3"/>
      <c r="V48" s="3"/>
      <c r="W48" s="3"/>
      <c r="X48" s="3"/>
      <c r="Y48" s="1"/>
      <c r="Z48" s="1"/>
      <c r="AA48" s="1"/>
      <c r="AB48" s="1"/>
      <c r="AC48" s="1"/>
      <c r="AD48" s="1"/>
    </row>
    <row r="49" spans="1:30" s="2" customFormat="1" x14ac:dyDescent="0.2">
      <c r="A49" s="134" t="str">
        <f>$B$30&amp; " time in ECA (% of total)"</f>
        <v xml:space="preserve"> time in ECA (% of total)</v>
      </c>
      <c r="B49" s="143">
        <f t="shared" ref="B49:G49" si="3">B48*B47</f>
        <v>0</v>
      </c>
      <c r="C49" s="143">
        <f t="shared" si="3"/>
        <v>0</v>
      </c>
      <c r="D49" s="143">
        <f t="shared" si="3"/>
        <v>0</v>
      </c>
      <c r="E49" s="143">
        <f t="shared" si="3"/>
        <v>0</v>
      </c>
      <c r="F49" s="143">
        <f t="shared" si="3"/>
        <v>0</v>
      </c>
      <c r="G49" s="143">
        <f t="shared" si="3"/>
        <v>0</v>
      </c>
      <c r="H49" s="123"/>
      <c r="I49" s="123"/>
      <c r="J49" s="123"/>
      <c r="K49" s="123"/>
      <c r="L49" s="1"/>
      <c r="P49" s="1"/>
      <c r="Q49" s="3"/>
      <c r="R49" s="3"/>
      <c r="S49" s="3"/>
      <c r="T49" s="3"/>
      <c r="U49" s="3"/>
      <c r="V49" s="3"/>
      <c r="W49" s="3"/>
      <c r="X49" s="3"/>
      <c r="Y49" s="1"/>
      <c r="Z49" s="1"/>
      <c r="AA49" s="1"/>
      <c r="AB49" s="1"/>
      <c r="AC49" s="1"/>
      <c r="AD49" s="1"/>
    </row>
    <row r="50" spans="1:30" s="2" customFormat="1" x14ac:dyDescent="0.2">
      <c r="A50" s="134"/>
      <c r="B50" s="143"/>
      <c r="C50" s="143"/>
      <c r="D50" s="143"/>
      <c r="E50" s="143"/>
      <c r="F50" s="143"/>
      <c r="G50" s="143"/>
      <c r="H50" s="123"/>
      <c r="I50" s="123"/>
      <c r="J50" s="123"/>
      <c r="K50" s="123"/>
      <c r="L50" s="1"/>
      <c r="P50" s="1"/>
      <c r="Q50" s="3"/>
      <c r="R50" s="3"/>
      <c r="S50" s="3"/>
      <c r="T50" s="3"/>
      <c r="U50" s="3"/>
      <c r="V50" s="3"/>
      <c r="W50" s="3"/>
      <c r="X50" s="3"/>
      <c r="Y50" s="1"/>
      <c r="Z50" s="1"/>
      <c r="AA50" s="1"/>
      <c r="AB50" s="1"/>
      <c r="AC50" s="1"/>
      <c r="AD50" s="1"/>
    </row>
    <row r="51" spans="1:30" s="2" customFormat="1" x14ac:dyDescent="0.2">
      <c r="A51" s="134" t="str">
        <f>$B$31&amp; " % total time"</f>
        <v xml:space="preserve"> % total time</v>
      </c>
      <c r="B51" s="183"/>
      <c r="C51" s="182"/>
      <c r="D51" s="182"/>
      <c r="E51" s="182"/>
      <c r="F51" s="182"/>
      <c r="G51" s="182"/>
      <c r="H51" s="123"/>
      <c r="I51" s="123"/>
      <c r="J51" s="123"/>
      <c r="K51" s="123"/>
      <c r="L51" s="1"/>
      <c r="Q51" s="3"/>
      <c r="R51" s="3"/>
      <c r="S51" s="3"/>
      <c r="T51" s="3"/>
      <c r="U51" s="3"/>
      <c r="V51" s="3"/>
      <c r="W51" s="3"/>
      <c r="X51" s="3"/>
      <c r="Y51" s="1"/>
      <c r="Z51" s="1"/>
      <c r="AA51" s="1"/>
      <c r="AB51" s="1"/>
      <c r="AC51" s="1"/>
      <c r="AD51" s="1"/>
    </row>
    <row r="52" spans="1:30" s="2" customFormat="1" x14ac:dyDescent="0.2">
      <c r="A52" s="134" t="str">
        <f>$B$31&amp; " % time in ECA"</f>
        <v xml:space="preserve"> % time in ECA</v>
      </c>
      <c r="B52" s="183"/>
      <c r="C52" s="182"/>
      <c r="D52" s="182"/>
      <c r="E52" s="182"/>
      <c r="F52" s="182"/>
      <c r="G52" s="182"/>
      <c r="H52" s="123"/>
      <c r="I52" s="123"/>
      <c r="J52" s="123"/>
      <c r="K52" s="123"/>
      <c r="L52" s="1"/>
      <c r="Q52" s="3"/>
      <c r="R52" s="3"/>
      <c r="S52" s="3"/>
      <c r="T52" s="3"/>
      <c r="U52" s="3"/>
      <c r="V52" s="3"/>
      <c r="W52" s="3"/>
      <c r="X52" s="3"/>
      <c r="Y52" s="1"/>
      <c r="Z52" s="1"/>
      <c r="AA52" s="1"/>
      <c r="AB52" s="1"/>
      <c r="AC52" s="1"/>
      <c r="AD52" s="1"/>
    </row>
    <row r="53" spans="1:30" s="2" customFormat="1" x14ac:dyDescent="0.2">
      <c r="A53" s="134" t="str">
        <f>$B$31&amp; " time in ECA (% of total)"</f>
        <v xml:space="preserve"> time in ECA (% of total)</v>
      </c>
      <c r="B53" s="143">
        <f t="shared" ref="B53:G53" si="4">B52*B51</f>
        <v>0</v>
      </c>
      <c r="C53" s="143">
        <f t="shared" si="4"/>
        <v>0</v>
      </c>
      <c r="D53" s="143">
        <f t="shared" si="4"/>
        <v>0</v>
      </c>
      <c r="E53" s="143">
        <f t="shared" si="4"/>
        <v>0</v>
      </c>
      <c r="F53" s="143">
        <f t="shared" si="4"/>
        <v>0</v>
      </c>
      <c r="G53" s="143">
        <f t="shared" si="4"/>
        <v>0</v>
      </c>
      <c r="H53" s="123"/>
      <c r="I53" s="123"/>
      <c r="J53" s="123"/>
      <c r="K53" s="123"/>
      <c r="L53" s="1"/>
      <c r="Q53" s="3"/>
      <c r="R53" s="3"/>
      <c r="S53" s="3"/>
      <c r="T53" s="3"/>
      <c r="U53" s="3"/>
      <c r="V53" s="3"/>
      <c r="W53" s="3"/>
      <c r="X53" s="3"/>
      <c r="Y53" s="1"/>
      <c r="Z53" s="1"/>
      <c r="AA53" s="1"/>
      <c r="AB53" s="1"/>
      <c r="AC53" s="1"/>
      <c r="AD53" s="1"/>
    </row>
    <row r="54" spans="1:30" s="2" customFormat="1" x14ac:dyDescent="0.2">
      <c r="A54" s="134"/>
      <c r="B54" s="143"/>
      <c r="C54" s="143"/>
      <c r="D54" s="143"/>
      <c r="E54" s="143"/>
      <c r="F54" s="143"/>
      <c r="G54" s="143"/>
      <c r="H54" s="123"/>
      <c r="I54" s="123"/>
      <c r="J54" s="123"/>
      <c r="K54" s="123"/>
      <c r="L54" s="1"/>
      <c r="Q54" s="3"/>
      <c r="R54" s="3"/>
      <c r="S54" s="3"/>
      <c r="T54" s="3"/>
      <c r="U54" s="3"/>
      <c r="V54" s="3"/>
      <c r="W54" s="3"/>
      <c r="X54" s="3"/>
      <c r="Y54" s="1"/>
      <c r="Z54" s="1"/>
      <c r="AA54" s="1"/>
      <c r="AB54" s="1"/>
      <c r="AC54" s="1"/>
      <c r="AD54" s="1"/>
    </row>
    <row r="55" spans="1:30" s="2" customFormat="1" x14ac:dyDescent="0.2">
      <c r="A55" s="134" t="s">
        <v>183</v>
      </c>
      <c r="B55" s="144">
        <f t="shared" ref="B55:G55" si="5">SUM(B37,B41,B45,B49,B53)</f>
        <v>0</v>
      </c>
      <c r="C55" s="144">
        <f t="shared" si="5"/>
        <v>0</v>
      </c>
      <c r="D55" s="144">
        <f t="shared" si="5"/>
        <v>0</v>
      </c>
      <c r="E55" s="144">
        <f t="shared" si="5"/>
        <v>0</v>
      </c>
      <c r="F55" s="144">
        <f t="shared" si="5"/>
        <v>0</v>
      </c>
      <c r="G55" s="144">
        <f t="shared" si="5"/>
        <v>0</v>
      </c>
      <c r="H55" s="123"/>
      <c r="I55" s="123"/>
      <c r="J55" s="123"/>
      <c r="K55" s="123"/>
      <c r="L55" s="1"/>
      <c r="P55" s="1"/>
      <c r="Q55" s="3"/>
      <c r="R55" s="3"/>
      <c r="S55" s="3"/>
      <c r="T55" s="3"/>
      <c r="U55" s="3"/>
      <c r="V55" s="3"/>
      <c r="W55" s="3"/>
      <c r="X55" s="3"/>
      <c r="Y55" s="1"/>
      <c r="Z55" s="1"/>
      <c r="AA55" s="1"/>
      <c r="AB55" s="1"/>
      <c r="AC55" s="1"/>
      <c r="AD55" s="1"/>
    </row>
    <row r="56" spans="1:30" s="2" customFormat="1" x14ac:dyDescent="0.2">
      <c r="A56" s="134" t="s">
        <v>184</v>
      </c>
      <c r="B56" s="144">
        <f t="shared" ref="B56:G56" si="6">1-B55</f>
        <v>1</v>
      </c>
      <c r="C56" s="144">
        <f t="shared" si="6"/>
        <v>1</v>
      </c>
      <c r="D56" s="144">
        <f t="shared" si="6"/>
        <v>1</v>
      </c>
      <c r="E56" s="144">
        <f t="shared" si="6"/>
        <v>1</v>
      </c>
      <c r="F56" s="144">
        <f t="shared" si="6"/>
        <v>1</v>
      </c>
      <c r="G56" s="144">
        <f t="shared" si="6"/>
        <v>1</v>
      </c>
      <c r="H56" s="123"/>
      <c r="I56" s="123"/>
      <c r="J56" s="123"/>
      <c r="K56" s="123"/>
      <c r="L56" s="1"/>
      <c r="P56" s="1"/>
      <c r="Q56" s="3"/>
      <c r="R56" s="3"/>
      <c r="S56" s="3"/>
      <c r="T56" s="3"/>
      <c r="U56" s="3"/>
      <c r="V56" s="3"/>
      <c r="W56" s="3"/>
      <c r="X56" s="3"/>
      <c r="Y56" s="1"/>
      <c r="Z56" s="1"/>
      <c r="AA56" s="1"/>
      <c r="AB56" s="1"/>
      <c r="AC56" s="1"/>
      <c r="AD56" s="1"/>
    </row>
    <row r="57" spans="1:30" s="2" customFormat="1" x14ac:dyDescent="0.2">
      <c r="A57" s="137" t="s">
        <v>182</v>
      </c>
      <c r="B57" s="144">
        <f t="shared" ref="B57:G57" si="7">1-SUM(B35,B39,B43,B47,B51)</f>
        <v>1</v>
      </c>
      <c r="C57" s="144">
        <f t="shared" si="7"/>
        <v>1</v>
      </c>
      <c r="D57" s="144">
        <f t="shared" si="7"/>
        <v>1</v>
      </c>
      <c r="E57" s="144">
        <f t="shared" si="7"/>
        <v>1</v>
      </c>
      <c r="F57" s="144">
        <f t="shared" si="7"/>
        <v>1</v>
      </c>
      <c r="G57" s="144">
        <f t="shared" si="7"/>
        <v>1</v>
      </c>
      <c r="H57" s="123"/>
      <c r="I57" s="123"/>
      <c r="J57" s="123"/>
      <c r="K57" s="123"/>
      <c r="L57" s="1"/>
      <c r="P57" s="1"/>
      <c r="Q57" s="3"/>
      <c r="R57" s="3"/>
      <c r="S57" s="3"/>
      <c r="T57" s="3"/>
      <c r="U57" s="3"/>
      <c r="V57" s="3"/>
      <c r="W57" s="3"/>
      <c r="X57" s="3"/>
      <c r="Y57" s="1"/>
      <c r="Z57" s="1"/>
      <c r="AA57" s="1"/>
      <c r="AB57" s="1"/>
      <c r="AC57" s="1"/>
      <c r="AD57" s="1"/>
    </row>
    <row r="58" spans="1:30" s="2" customFormat="1" x14ac:dyDescent="0.2">
      <c r="A58" s="137"/>
      <c r="B58" s="130"/>
      <c r="C58" s="138"/>
      <c r="D58" s="138"/>
      <c r="E58" s="138"/>
      <c r="F58" s="144"/>
      <c r="G58" s="144"/>
      <c r="H58" s="123"/>
      <c r="I58" s="123"/>
      <c r="J58" s="123"/>
      <c r="K58" s="123"/>
      <c r="L58" s="1"/>
      <c r="P58" s="1"/>
      <c r="Q58" s="3"/>
      <c r="R58" s="3"/>
      <c r="S58" s="3"/>
      <c r="T58" s="3"/>
      <c r="U58" s="3"/>
      <c r="V58" s="3"/>
      <c r="W58" s="3"/>
      <c r="X58" s="3"/>
      <c r="Y58" s="1"/>
      <c r="Z58" s="1"/>
      <c r="AA58" s="1"/>
      <c r="AB58" s="1"/>
      <c r="AC58" s="1"/>
      <c r="AD58" s="1"/>
    </row>
    <row r="59" spans="1:30" s="2" customFormat="1" ht="20.25" x14ac:dyDescent="0.3">
      <c r="A59" s="127" t="s">
        <v>192</v>
      </c>
      <c r="B59" s="132"/>
      <c r="C59" s="133"/>
      <c r="D59" s="122"/>
      <c r="E59" s="122"/>
      <c r="F59" s="130"/>
      <c r="G59" s="130"/>
      <c r="H59" s="130"/>
      <c r="I59" s="130"/>
      <c r="J59" s="130"/>
      <c r="K59" s="123"/>
      <c r="L59" s="1"/>
      <c r="P59" s="1"/>
      <c r="Q59" s="1"/>
      <c r="R59" s="1"/>
      <c r="S59" s="1"/>
      <c r="T59" s="1"/>
      <c r="U59" s="1"/>
      <c r="V59" s="1"/>
      <c r="W59" s="1"/>
      <c r="X59" s="1"/>
      <c r="Y59" s="1"/>
      <c r="Z59" s="1"/>
      <c r="AA59" s="1"/>
      <c r="AB59" s="1"/>
      <c r="AC59" s="1"/>
      <c r="AD59" s="1"/>
    </row>
    <row r="60" spans="1:30" s="2" customFormat="1" ht="12.75" customHeight="1" x14ac:dyDescent="0.25">
      <c r="A60" s="134" t="s">
        <v>181</v>
      </c>
      <c r="B60" s="135"/>
      <c r="C60" s="136"/>
      <c r="D60" s="122"/>
      <c r="E60" s="122"/>
      <c r="F60" s="122"/>
      <c r="G60" s="122"/>
      <c r="H60" s="123"/>
      <c r="I60" s="123"/>
      <c r="J60" s="123"/>
      <c r="K60" s="123"/>
      <c r="L60" s="1"/>
      <c r="P60" s="1"/>
      <c r="Q60" s="1"/>
      <c r="R60" s="1"/>
      <c r="S60" s="1"/>
      <c r="T60" s="1"/>
      <c r="U60" s="1"/>
      <c r="V60" s="1"/>
      <c r="W60" s="1"/>
      <c r="X60" s="1"/>
      <c r="Y60" s="1"/>
      <c r="Z60" s="1"/>
      <c r="AA60" s="1"/>
      <c r="AB60" s="1"/>
      <c r="AC60" s="1"/>
      <c r="AD60" s="1"/>
    </row>
    <row r="61" spans="1:30" s="2" customFormat="1" ht="12.75" customHeight="1" x14ac:dyDescent="0.25">
      <c r="A61" s="134"/>
      <c r="B61" s="135"/>
      <c r="C61" s="136"/>
      <c r="D61" s="122"/>
      <c r="E61" s="122"/>
      <c r="F61" s="122"/>
      <c r="G61" s="122"/>
      <c r="H61" s="123"/>
      <c r="I61" s="123"/>
      <c r="J61" s="123"/>
      <c r="K61" s="123"/>
      <c r="L61" s="1"/>
      <c r="Q61" s="1"/>
      <c r="R61" s="1"/>
      <c r="S61" s="1"/>
      <c r="T61" s="1"/>
      <c r="U61" s="1"/>
      <c r="V61" s="1"/>
      <c r="W61" s="1"/>
      <c r="X61" s="1"/>
      <c r="Y61" s="1"/>
      <c r="Z61" s="1"/>
      <c r="AA61" s="1"/>
      <c r="AB61" s="1"/>
      <c r="AC61" s="1"/>
      <c r="AD61" s="1"/>
    </row>
    <row r="62" spans="1:30" s="2" customFormat="1" x14ac:dyDescent="0.2">
      <c r="A62" s="242" t="s">
        <v>191</v>
      </c>
      <c r="B62" s="145" t="s">
        <v>156</v>
      </c>
      <c r="C62" s="145" t="s">
        <v>157</v>
      </c>
      <c r="D62" s="145" t="s">
        <v>158</v>
      </c>
      <c r="E62" s="145" t="s">
        <v>159</v>
      </c>
      <c r="F62" s="144"/>
      <c r="G62" s="241"/>
      <c r="H62" s="241"/>
      <c r="I62" s="241"/>
      <c r="J62" s="241"/>
      <c r="K62" s="123"/>
      <c r="L62" s="1"/>
      <c r="Q62" s="3"/>
      <c r="R62" s="3"/>
      <c r="S62" s="3"/>
      <c r="T62" s="3"/>
      <c r="U62" s="3"/>
      <c r="V62" s="3"/>
      <c r="W62" s="3"/>
      <c r="X62" s="3"/>
      <c r="Y62" s="1"/>
      <c r="Z62" s="1"/>
      <c r="AA62" s="1"/>
      <c r="AB62" s="1"/>
      <c r="AC62" s="1"/>
      <c r="AD62" s="1"/>
    </row>
    <row r="63" spans="1:30" s="2" customFormat="1" x14ac:dyDescent="0.2">
      <c r="A63" s="242"/>
      <c r="B63" s="184"/>
      <c r="C63" s="184"/>
      <c r="D63" s="185"/>
      <c r="E63" s="185"/>
      <c r="F63" s="122"/>
      <c r="G63" s="122"/>
      <c r="H63" s="123"/>
      <c r="I63" s="123"/>
      <c r="J63" s="123"/>
      <c r="K63" s="123"/>
      <c r="L63" s="1"/>
      <c r="Q63" s="3"/>
      <c r="R63" s="3"/>
      <c r="S63" s="3"/>
      <c r="T63" s="3"/>
      <c r="U63" s="3"/>
      <c r="V63" s="3"/>
      <c r="W63" s="3"/>
      <c r="X63" s="3"/>
      <c r="Y63" s="1"/>
      <c r="Z63" s="1"/>
      <c r="AA63" s="1"/>
      <c r="AB63" s="1"/>
      <c r="AC63" s="1"/>
      <c r="AD63" s="1"/>
    </row>
    <row r="64" spans="1:30" s="2" customFormat="1" x14ac:dyDescent="0.2">
      <c r="A64" s="130"/>
      <c r="B64" s="130"/>
      <c r="C64" s="130"/>
      <c r="D64" s="130"/>
      <c r="E64" s="130"/>
      <c r="F64" s="130"/>
      <c r="G64" s="122"/>
      <c r="H64" s="123"/>
      <c r="I64" s="123"/>
      <c r="J64" s="123"/>
      <c r="K64" s="123"/>
      <c r="L64" s="1"/>
      <c r="Q64" s="3"/>
      <c r="R64" s="3"/>
      <c r="S64" s="3"/>
      <c r="T64" s="3"/>
      <c r="U64" s="3"/>
      <c r="V64" s="3"/>
      <c r="W64" s="3"/>
      <c r="X64" s="3"/>
      <c r="Y64" s="1"/>
      <c r="Z64" s="1"/>
      <c r="AA64" s="1"/>
      <c r="AB64" s="1"/>
      <c r="AC64" s="1"/>
      <c r="AD64" s="1"/>
    </row>
    <row r="65" spans="1:30" s="2" customFormat="1" x14ac:dyDescent="0.2">
      <c r="A65" s="130"/>
      <c r="B65" s="129" t="str">
        <f>IF(ship1="","",ship1)</f>
        <v/>
      </c>
      <c r="C65" s="129" t="str">
        <f>IF(ship2="","",ship2)</f>
        <v/>
      </c>
      <c r="D65" s="129" t="str">
        <f>IF(ship3="","",ship3)</f>
        <v/>
      </c>
      <c r="E65" s="129" t="str">
        <f>IF(ship4="","",ship4)</f>
        <v/>
      </c>
      <c r="F65" s="129" t="str">
        <f>IF(ship5="","",ship5)</f>
        <v/>
      </c>
      <c r="G65" s="129" t="str">
        <f>IF(ship6="","",ship6)</f>
        <v/>
      </c>
      <c r="H65" s="123"/>
      <c r="I65" s="123"/>
      <c r="J65" s="123"/>
      <c r="K65" s="123"/>
      <c r="L65" s="1"/>
      <c r="Q65" s="3"/>
      <c r="R65" s="3"/>
      <c r="S65" s="3"/>
      <c r="T65" s="3"/>
      <c r="U65" s="3"/>
      <c r="V65" s="3"/>
      <c r="W65" s="3"/>
      <c r="X65" s="3"/>
      <c r="Y65" s="1"/>
      <c r="Z65" s="1"/>
      <c r="AA65" s="1"/>
      <c r="AB65" s="1"/>
      <c r="AC65" s="1"/>
      <c r="AD65" s="1"/>
    </row>
    <row r="66" spans="1:30" s="2" customFormat="1" ht="25.5" customHeight="1" x14ac:dyDescent="0.2">
      <c r="A66" s="146" t="s">
        <v>28</v>
      </c>
      <c r="B66" s="185"/>
      <c r="C66" s="186"/>
      <c r="D66" s="186"/>
      <c r="E66" s="186"/>
      <c r="F66" s="186"/>
      <c r="G66" s="186"/>
      <c r="H66" s="123"/>
      <c r="I66" s="123"/>
      <c r="J66" s="123"/>
      <c r="K66" s="123"/>
      <c r="L66" s="1"/>
      <c r="Q66" s="1"/>
      <c r="R66" s="1"/>
      <c r="S66" s="1"/>
      <c r="T66" s="1"/>
      <c r="U66" s="1"/>
      <c r="V66" s="1"/>
      <c r="W66" s="1"/>
      <c r="X66" s="1"/>
      <c r="Y66" s="1"/>
      <c r="Z66" s="1"/>
      <c r="AA66" s="1"/>
      <c r="AB66" s="1"/>
      <c r="AC66" s="1"/>
      <c r="AD66" s="1"/>
    </row>
    <row r="67" spans="1:30" s="2" customFormat="1" x14ac:dyDescent="0.2">
      <c r="A67" s="121" t="s">
        <v>199</v>
      </c>
      <c r="B67" s="185"/>
      <c r="C67" s="186"/>
      <c r="D67" s="186"/>
      <c r="E67" s="186"/>
      <c r="F67" s="186"/>
      <c r="G67" s="186"/>
      <c r="H67" s="123"/>
      <c r="I67" s="123"/>
      <c r="J67" s="123"/>
      <c r="K67" s="123"/>
      <c r="L67" s="1"/>
      <c r="Q67" s="1"/>
      <c r="R67" s="1"/>
      <c r="S67" s="1"/>
      <c r="T67" s="1"/>
      <c r="U67" s="1"/>
      <c r="V67" s="1"/>
      <c r="W67" s="1"/>
      <c r="X67" s="1"/>
      <c r="Y67" s="1"/>
      <c r="Z67" s="1"/>
      <c r="AA67" s="1"/>
      <c r="AB67" s="1"/>
      <c r="AC67" s="1"/>
      <c r="AD67" s="1"/>
    </row>
    <row r="68" spans="1:30" s="2" customFormat="1" x14ac:dyDescent="0.2">
      <c r="A68" s="121" t="s">
        <v>198</v>
      </c>
      <c r="B68" s="187"/>
      <c r="C68" s="187"/>
      <c r="D68" s="188"/>
      <c r="E68" s="188"/>
      <c r="F68" s="188"/>
      <c r="G68" s="188"/>
      <c r="H68" s="123"/>
      <c r="I68" s="123"/>
      <c r="J68" s="123"/>
      <c r="K68" s="123"/>
      <c r="L68" s="1"/>
      <c r="Q68" s="1"/>
      <c r="R68" s="1"/>
      <c r="S68" s="1"/>
      <c r="T68" s="1"/>
      <c r="U68" s="1"/>
      <c r="V68" s="1"/>
      <c r="W68" s="1"/>
      <c r="X68" s="1"/>
      <c r="Y68" s="1"/>
      <c r="Z68" s="1"/>
      <c r="AA68" s="1"/>
      <c r="AB68" s="1"/>
      <c r="AC68" s="1"/>
      <c r="AD68" s="1"/>
    </row>
    <row r="69" spans="1:30" s="2" customFormat="1" x14ac:dyDescent="0.2">
      <c r="A69" s="137" t="s">
        <v>31</v>
      </c>
      <c r="B69" s="147">
        <f t="shared" ref="B69:G69" si="8">B67*B68</f>
        <v>0</v>
      </c>
      <c r="C69" s="147">
        <f t="shared" si="8"/>
        <v>0</v>
      </c>
      <c r="D69" s="147">
        <f t="shared" si="8"/>
        <v>0</v>
      </c>
      <c r="E69" s="147">
        <f t="shared" si="8"/>
        <v>0</v>
      </c>
      <c r="F69" s="147">
        <f t="shared" si="8"/>
        <v>0</v>
      </c>
      <c r="G69" s="147">
        <f t="shared" si="8"/>
        <v>0</v>
      </c>
      <c r="H69" s="123"/>
      <c r="I69" s="123"/>
      <c r="J69" s="123"/>
      <c r="K69" s="123"/>
      <c r="L69" s="1"/>
      <c r="Q69" s="1"/>
      <c r="R69" s="1"/>
      <c r="S69" s="1"/>
      <c r="T69" s="1"/>
      <c r="U69" s="1"/>
      <c r="V69" s="1"/>
      <c r="W69" s="1"/>
      <c r="X69" s="1"/>
      <c r="Y69" s="1"/>
      <c r="Z69" s="1"/>
      <c r="AA69" s="1"/>
      <c r="AB69" s="1"/>
      <c r="AC69" s="1"/>
      <c r="AD69" s="1"/>
    </row>
    <row r="70" spans="1:30" s="2" customFormat="1" x14ac:dyDescent="0.2">
      <c r="A70" s="137" t="s">
        <v>13</v>
      </c>
      <c r="B70" s="189"/>
      <c r="C70" s="190"/>
      <c r="D70" s="190"/>
      <c r="E70" s="190"/>
      <c r="F70" s="190"/>
      <c r="G70" s="190"/>
      <c r="H70" s="123"/>
      <c r="I70" s="123"/>
      <c r="J70" s="123"/>
      <c r="K70" s="123"/>
      <c r="L70" s="1"/>
      <c r="Q70" s="1"/>
      <c r="R70" s="1"/>
      <c r="S70" s="1"/>
      <c r="T70" s="1"/>
      <c r="U70" s="1"/>
      <c r="V70" s="1"/>
      <c r="W70" s="1"/>
      <c r="X70" s="1"/>
      <c r="Y70" s="1"/>
      <c r="Z70" s="1"/>
      <c r="AA70" s="1"/>
      <c r="AB70" s="1"/>
      <c r="AC70" s="1"/>
      <c r="AD70" s="1"/>
    </row>
    <row r="71" spans="1:30" s="2" customFormat="1" x14ac:dyDescent="0.2">
      <c r="A71" s="137"/>
      <c r="B71" s="147"/>
      <c r="C71" s="147"/>
      <c r="D71" s="147"/>
      <c r="E71" s="147"/>
      <c r="F71" s="147"/>
      <c r="G71" s="147"/>
      <c r="H71" s="123"/>
      <c r="I71" s="123"/>
      <c r="J71" s="123"/>
      <c r="K71" s="123"/>
      <c r="L71" s="1"/>
      <c r="Q71" s="1"/>
      <c r="R71" s="1"/>
      <c r="S71" s="1"/>
      <c r="T71" s="1"/>
      <c r="U71" s="1"/>
      <c r="V71" s="1"/>
      <c r="W71" s="1"/>
      <c r="X71" s="1"/>
      <c r="Y71" s="1"/>
      <c r="Z71" s="1"/>
      <c r="AA71" s="1"/>
      <c r="AB71" s="1"/>
      <c r="AC71" s="1"/>
      <c r="AD71" s="1"/>
    </row>
    <row r="72" spans="1:30" s="2" customFormat="1" x14ac:dyDescent="0.2">
      <c r="A72" s="137" t="str">
        <f>"Number of units used at "&amp;$B$27</f>
        <v xml:space="preserve">Number of units used at </v>
      </c>
      <c r="B72" s="191"/>
      <c r="C72" s="192"/>
      <c r="D72" s="192"/>
      <c r="E72" s="192"/>
      <c r="F72" s="192"/>
      <c r="G72" s="192"/>
      <c r="H72" s="123"/>
      <c r="I72" s="123"/>
      <c r="J72" s="123"/>
      <c r="K72" s="123"/>
      <c r="L72" s="1"/>
      <c r="Q72" s="1"/>
      <c r="R72" s="1"/>
      <c r="S72" s="1"/>
      <c r="T72" s="1"/>
      <c r="U72" s="1"/>
      <c r="V72" s="1"/>
      <c r="W72" s="1"/>
      <c r="X72" s="1"/>
      <c r="Y72" s="1"/>
      <c r="Z72" s="1"/>
      <c r="AA72" s="1"/>
      <c r="AB72" s="1"/>
      <c r="AC72" s="1"/>
      <c r="AD72" s="1"/>
    </row>
    <row r="73" spans="1:30" s="2" customFormat="1" x14ac:dyDescent="0.2">
      <c r="A73" s="137" t="str">
        <f>"% MCR at "&amp;$B$27</f>
        <v xml:space="preserve">% MCR at </v>
      </c>
      <c r="B73" s="181"/>
      <c r="C73" s="181"/>
      <c r="D73" s="193"/>
      <c r="E73" s="193"/>
      <c r="F73" s="193"/>
      <c r="G73" s="193"/>
      <c r="H73" s="123"/>
      <c r="I73" s="123"/>
      <c r="J73" s="123"/>
      <c r="K73" s="123"/>
      <c r="L73" s="1"/>
      <c r="M73" s="5" t="s">
        <v>2</v>
      </c>
      <c r="N73" s="5" t="s">
        <v>27</v>
      </c>
      <c r="O73" s="18" t="s">
        <v>197</v>
      </c>
      <c r="Q73" s="1"/>
      <c r="R73" s="1"/>
      <c r="S73" s="1"/>
      <c r="T73" s="1"/>
      <c r="U73" s="1"/>
      <c r="V73" s="1"/>
      <c r="W73" s="1"/>
      <c r="X73" s="1"/>
      <c r="Y73" s="1"/>
      <c r="Z73" s="1"/>
      <c r="AA73" s="1"/>
      <c r="AB73" s="1"/>
      <c r="AC73" s="1"/>
      <c r="AD73" s="1"/>
    </row>
    <row r="74" spans="1:30" s="2" customFormat="1" x14ac:dyDescent="0.2">
      <c r="A74" s="134" t="str">
        <f>"SFOC at "&amp;B73*100&amp; "% MCR"</f>
        <v>SFOC at 0% MCR</v>
      </c>
      <c r="B74" s="194"/>
      <c r="C74" s="195"/>
      <c r="D74" s="195"/>
      <c r="E74" s="195"/>
      <c r="F74" s="195"/>
      <c r="G74" s="195"/>
      <c r="H74" s="123"/>
      <c r="I74" s="123"/>
      <c r="J74" s="123"/>
      <c r="K74" s="123"/>
      <c r="L74" s="1"/>
      <c r="M74" s="6">
        <f>fuel_type1</f>
        <v>0</v>
      </c>
      <c r="N74" s="1">
        <f>$B$66</f>
        <v>0</v>
      </c>
      <c r="O74" s="2">
        <v>0</v>
      </c>
      <c r="Q74" s="1"/>
      <c r="R74" s="1"/>
      <c r="S74" s="1"/>
      <c r="T74" s="1"/>
      <c r="U74" s="1"/>
      <c r="V74" s="1"/>
      <c r="W74" s="1"/>
      <c r="X74" s="1"/>
      <c r="Y74" s="1"/>
      <c r="Z74" s="1"/>
      <c r="AA74" s="1"/>
      <c r="AB74" s="1"/>
      <c r="AC74" s="1"/>
      <c r="AD74" s="1"/>
    </row>
    <row r="75" spans="1:30" s="2" customFormat="1" x14ac:dyDescent="0.2">
      <c r="A75" s="134" t="str">
        <f>"Number of units used at "&amp;$B$28</f>
        <v xml:space="preserve">Number of units used at </v>
      </c>
      <c r="B75" s="191"/>
      <c r="C75" s="192"/>
      <c r="D75" s="192"/>
      <c r="E75" s="192"/>
      <c r="F75" s="192"/>
      <c r="G75" s="192"/>
      <c r="H75" s="123"/>
      <c r="I75" s="123"/>
      <c r="J75" s="123"/>
      <c r="K75" s="123"/>
      <c r="L75" s="1"/>
      <c r="M75" s="6">
        <f>fuel_type2</f>
        <v>0</v>
      </c>
      <c r="N75" s="1">
        <f>$B$91</f>
        <v>0</v>
      </c>
      <c r="O75" s="2">
        <v>1</v>
      </c>
      <c r="Q75" s="1"/>
      <c r="R75" s="1"/>
      <c r="S75" s="1"/>
      <c r="T75" s="1"/>
      <c r="U75" s="1"/>
      <c r="V75" s="1"/>
      <c r="W75" s="1"/>
      <c r="X75" s="1"/>
      <c r="Y75" s="1"/>
      <c r="Z75" s="1"/>
      <c r="AA75" s="1"/>
      <c r="AB75" s="1"/>
      <c r="AC75" s="1"/>
      <c r="AD75" s="1"/>
    </row>
    <row r="76" spans="1:30" s="2" customFormat="1" x14ac:dyDescent="0.2">
      <c r="A76" s="134" t="str">
        <f>"% MCR at "&amp;$B$28</f>
        <v xml:space="preserve">% MCR at </v>
      </c>
      <c r="B76" s="181"/>
      <c r="C76" s="181"/>
      <c r="D76" s="193"/>
      <c r="E76" s="193"/>
      <c r="F76" s="193"/>
      <c r="G76" s="193"/>
      <c r="H76" s="123"/>
      <c r="I76" s="123"/>
      <c r="J76" s="123"/>
      <c r="K76" s="123"/>
      <c r="L76" s="1"/>
      <c r="M76" s="6">
        <f>fuel_type3</f>
        <v>0</v>
      </c>
      <c r="N76" s="1">
        <f>$B$116</f>
        <v>0</v>
      </c>
      <c r="O76" s="1">
        <v>2</v>
      </c>
      <c r="Q76" s="1"/>
      <c r="R76" s="1"/>
      <c r="S76" s="1"/>
      <c r="T76" s="1"/>
      <c r="U76" s="1"/>
      <c r="V76" s="1"/>
      <c r="W76" s="1"/>
      <c r="X76" s="1"/>
      <c r="Y76" s="1"/>
      <c r="Z76" s="1"/>
      <c r="AA76" s="1"/>
      <c r="AB76" s="1"/>
      <c r="AC76" s="1"/>
      <c r="AD76" s="1"/>
    </row>
    <row r="77" spans="1:30" s="2" customFormat="1" x14ac:dyDescent="0.2">
      <c r="A77" s="134" t="str">
        <f>"SFOC at "&amp;B76*100&amp; "% MCR"</f>
        <v>SFOC at 0% MCR</v>
      </c>
      <c r="B77" s="194"/>
      <c r="C77" s="195"/>
      <c r="D77" s="195"/>
      <c r="E77" s="195"/>
      <c r="F77" s="195"/>
      <c r="G77" s="195"/>
      <c r="H77" s="123"/>
      <c r="I77" s="123"/>
      <c r="J77" s="123"/>
      <c r="K77" s="123"/>
      <c r="L77" s="1"/>
      <c r="M77" s="6">
        <f>fuel_type4</f>
        <v>0</v>
      </c>
      <c r="N77" s="1"/>
      <c r="O77" s="1">
        <v>3</v>
      </c>
      <c r="Q77" s="1"/>
      <c r="R77" s="1"/>
      <c r="S77" s="1"/>
      <c r="T77" s="1"/>
      <c r="U77" s="1"/>
      <c r="V77" s="1"/>
      <c r="W77" s="1"/>
      <c r="X77" s="1"/>
      <c r="Y77" s="1"/>
      <c r="Z77" s="1"/>
      <c r="AA77" s="1"/>
      <c r="AB77" s="1"/>
      <c r="AC77" s="1"/>
      <c r="AD77" s="1"/>
    </row>
    <row r="78" spans="1:30" s="2" customFormat="1" x14ac:dyDescent="0.2">
      <c r="A78" s="134" t="str">
        <f>"Number of units used at "&amp;$B$29</f>
        <v xml:space="preserve">Number of units used at </v>
      </c>
      <c r="B78" s="191"/>
      <c r="C78" s="192"/>
      <c r="D78" s="192"/>
      <c r="E78" s="192"/>
      <c r="F78" s="192"/>
      <c r="G78" s="192"/>
      <c r="H78" s="123"/>
      <c r="I78" s="123"/>
      <c r="J78" s="123"/>
      <c r="K78" s="123"/>
      <c r="L78" s="1"/>
      <c r="M78" s="1"/>
      <c r="N78" s="1"/>
      <c r="O78" s="1">
        <v>4</v>
      </c>
      <c r="Q78" s="1"/>
      <c r="R78" s="1"/>
      <c r="S78" s="1"/>
      <c r="T78" s="1"/>
      <c r="U78" s="1"/>
      <c r="V78" s="1"/>
      <c r="W78" s="1"/>
      <c r="X78" s="1"/>
      <c r="Y78" s="1"/>
      <c r="Z78" s="1"/>
      <c r="AA78" s="1"/>
      <c r="AB78" s="1"/>
      <c r="AC78" s="1"/>
      <c r="AD78" s="1"/>
    </row>
    <row r="79" spans="1:30" s="2" customFormat="1" x14ac:dyDescent="0.2">
      <c r="A79" s="134" t="str">
        <f>"% MCR at "&amp;$B$29</f>
        <v xml:space="preserve">% MCR at </v>
      </c>
      <c r="B79" s="181"/>
      <c r="C79" s="181"/>
      <c r="D79" s="193"/>
      <c r="E79" s="193"/>
      <c r="F79" s="193"/>
      <c r="G79" s="193"/>
      <c r="H79" s="123"/>
      <c r="I79" s="123"/>
      <c r="J79" s="123"/>
      <c r="K79" s="123"/>
      <c r="L79" s="1"/>
      <c r="M79" s="1"/>
      <c r="N79" s="1"/>
      <c r="O79" s="1">
        <v>5</v>
      </c>
      <c r="Q79" s="1"/>
      <c r="R79" s="1"/>
      <c r="S79" s="1"/>
      <c r="T79" s="1"/>
      <c r="U79" s="1"/>
      <c r="V79" s="1"/>
      <c r="W79" s="1"/>
      <c r="X79" s="1"/>
      <c r="Y79" s="1"/>
      <c r="Z79" s="1"/>
      <c r="AA79" s="1"/>
      <c r="AB79" s="1"/>
      <c r="AC79" s="1"/>
      <c r="AD79" s="1"/>
    </row>
    <row r="80" spans="1:30" s="2" customFormat="1" x14ac:dyDescent="0.2">
      <c r="A80" s="134" t="str">
        <f>"SFOC at "&amp;B79*100&amp; "% MCR"</f>
        <v>SFOC at 0% MCR</v>
      </c>
      <c r="B80" s="194"/>
      <c r="C80" s="195"/>
      <c r="D80" s="195"/>
      <c r="E80" s="195"/>
      <c r="F80" s="195"/>
      <c r="G80" s="195"/>
      <c r="H80" s="123"/>
      <c r="I80" s="123"/>
      <c r="J80" s="123"/>
      <c r="K80" s="123"/>
      <c r="L80" s="1"/>
      <c r="M80" s="1"/>
      <c r="N80" s="1"/>
      <c r="O80" s="1">
        <v>6</v>
      </c>
      <c r="Q80" s="1"/>
      <c r="R80" s="1"/>
      <c r="S80" s="1"/>
      <c r="T80" s="1"/>
      <c r="U80" s="1"/>
      <c r="V80" s="1"/>
      <c r="W80" s="1"/>
      <c r="X80" s="1"/>
      <c r="Y80" s="1"/>
      <c r="Z80" s="1"/>
      <c r="AA80" s="1"/>
      <c r="AB80" s="1"/>
      <c r="AC80" s="1"/>
      <c r="AD80" s="1"/>
    </row>
    <row r="81" spans="1:30" s="2" customFormat="1" x14ac:dyDescent="0.2">
      <c r="A81" s="134" t="str">
        <f>"Number of units used at "&amp;$B$30</f>
        <v xml:space="preserve">Number of units used at </v>
      </c>
      <c r="B81" s="191"/>
      <c r="C81" s="192"/>
      <c r="D81" s="192"/>
      <c r="E81" s="192"/>
      <c r="F81" s="192"/>
      <c r="G81" s="192"/>
      <c r="H81" s="123"/>
      <c r="I81" s="123"/>
      <c r="J81" s="123"/>
      <c r="K81" s="123"/>
      <c r="L81" s="1"/>
      <c r="M81" s="1"/>
      <c r="N81" s="1"/>
      <c r="O81" s="1">
        <v>7</v>
      </c>
      <c r="Q81" s="1"/>
      <c r="R81" s="1"/>
      <c r="S81" s="1"/>
      <c r="T81" s="1"/>
      <c r="U81" s="1"/>
      <c r="V81" s="1"/>
      <c r="W81" s="1"/>
      <c r="X81" s="1"/>
      <c r="Y81" s="1"/>
      <c r="Z81" s="1"/>
      <c r="AA81" s="1"/>
      <c r="AB81" s="1"/>
      <c r="AC81" s="1"/>
      <c r="AD81" s="1"/>
    </row>
    <row r="82" spans="1:30" s="2" customFormat="1" x14ac:dyDescent="0.2">
      <c r="A82" s="134" t="str">
        <f>"% MCR at "&amp;$B$30</f>
        <v xml:space="preserve">% MCR at </v>
      </c>
      <c r="B82" s="196"/>
      <c r="C82" s="193"/>
      <c r="D82" s="193"/>
      <c r="E82" s="193"/>
      <c r="F82" s="193"/>
      <c r="G82" s="193"/>
      <c r="H82" s="123"/>
      <c r="I82" s="123"/>
      <c r="J82" s="123"/>
      <c r="K82" s="123"/>
      <c r="L82" s="1"/>
      <c r="M82" s="19"/>
      <c r="O82" s="1">
        <v>8</v>
      </c>
      <c r="Q82" s="1"/>
      <c r="R82" s="1"/>
      <c r="S82" s="1"/>
      <c r="T82" s="1"/>
      <c r="U82" s="1"/>
      <c r="V82" s="1"/>
      <c r="W82" s="1"/>
      <c r="X82" s="1"/>
      <c r="Y82" s="1"/>
      <c r="Z82" s="1"/>
      <c r="AA82" s="1"/>
      <c r="AB82" s="1"/>
      <c r="AC82" s="1"/>
      <c r="AD82" s="1"/>
    </row>
    <row r="83" spans="1:30" s="2" customFormat="1" x14ac:dyDescent="0.2">
      <c r="A83" s="134" t="str">
        <f>"SFOC at "&amp;B82*100&amp; "% MCR"</f>
        <v>SFOC at 0% MCR</v>
      </c>
      <c r="B83" s="194"/>
      <c r="C83" s="195"/>
      <c r="D83" s="195"/>
      <c r="E83" s="195"/>
      <c r="F83" s="195"/>
      <c r="G83" s="195"/>
      <c r="H83" s="123"/>
      <c r="I83" s="123"/>
      <c r="J83" s="123"/>
      <c r="K83" s="123"/>
      <c r="L83" s="1"/>
      <c r="Q83" s="1"/>
      <c r="R83" s="1"/>
      <c r="S83" s="1"/>
      <c r="T83" s="1"/>
      <c r="U83" s="1"/>
      <c r="V83" s="1"/>
      <c r="W83" s="1"/>
      <c r="X83" s="1"/>
      <c r="Y83" s="1"/>
      <c r="Z83" s="1"/>
      <c r="AA83" s="1"/>
      <c r="AB83" s="1"/>
      <c r="AC83" s="1"/>
      <c r="AD83" s="1"/>
    </row>
    <row r="84" spans="1:30" s="2" customFormat="1" x14ac:dyDescent="0.2">
      <c r="A84" s="134" t="str">
        <f>"Number of units used at "&amp;$B$31</f>
        <v xml:space="preserve">Number of units used at </v>
      </c>
      <c r="B84" s="191"/>
      <c r="C84" s="192"/>
      <c r="D84" s="192"/>
      <c r="E84" s="192"/>
      <c r="F84" s="192"/>
      <c r="G84" s="192"/>
      <c r="H84" s="123"/>
      <c r="I84" s="123"/>
      <c r="J84" s="123"/>
      <c r="K84" s="123"/>
      <c r="L84" s="1"/>
      <c r="Q84" s="1"/>
      <c r="R84" s="1"/>
      <c r="S84" s="1"/>
      <c r="T84" s="1"/>
      <c r="U84" s="1"/>
      <c r="V84" s="1"/>
      <c r="W84" s="1"/>
      <c r="X84" s="1"/>
      <c r="Y84" s="1"/>
      <c r="Z84" s="1"/>
      <c r="AA84" s="1"/>
      <c r="AB84" s="1"/>
      <c r="AC84" s="1"/>
      <c r="AD84" s="1"/>
    </row>
    <row r="85" spans="1:30" s="2" customFormat="1" x14ac:dyDescent="0.2">
      <c r="A85" s="134" t="str">
        <f>"% MCR at "&amp;$B$31</f>
        <v xml:space="preserve">% MCR at </v>
      </c>
      <c r="B85" s="196"/>
      <c r="C85" s="193"/>
      <c r="D85" s="193"/>
      <c r="E85" s="193"/>
      <c r="F85" s="193"/>
      <c r="G85" s="193"/>
      <c r="H85" s="123"/>
      <c r="I85" s="123"/>
      <c r="J85" s="123"/>
      <c r="K85" s="123"/>
      <c r="L85" s="1"/>
      <c r="Q85" s="1"/>
      <c r="R85" s="1"/>
      <c r="S85" s="1"/>
      <c r="T85" s="1"/>
      <c r="U85" s="1"/>
      <c r="V85" s="1"/>
      <c r="W85" s="1"/>
      <c r="X85" s="1"/>
      <c r="Y85" s="1"/>
      <c r="Z85" s="1"/>
      <c r="AA85" s="1"/>
      <c r="AB85" s="1"/>
      <c r="AC85" s="1"/>
      <c r="AD85" s="1"/>
    </row>
    <row r="86" spans="1:30" s="2" customFormat="1" x14ac:dyDescent="0.2">
      <c r="A86" s="134" t="str">
        <f>"SFOC at "&amp;B85*100&amp; "% MCR"</f>
        <v>SFOC at 0% MCR</v>
      </c>
      <c r="B86" s="197"/>
      <c r="C86" s="198"/>
      <c r="D86" s="198"/>
      <c r="E86" s="198"/>
      <c r="F86" s="198"/>
      <c r="G86" s="198"/>
      <c r="H86" s="123"/>
      <c r="I86" s="123"/>
      <c r="J86" s="123"/>
      <c r="K86" s="123"/>
      <c r="L86" s="1"/>
      <c r="P86" s="1"/>
      <c r="Q86" s="1"/>
      <c r="R86" s="1"/>
      <c r="S86" s="1"/>
      <c r="T86" s="1"/>
      <c r="U86" s="1"/>
      <c r="V86" s="1"/>
      <c r="W86" s="1"/>
      <c r="X86" s="1"/>
      <c r="Y86" s="1"/>
      <c r="Z86" s="1"/>
      <c r="AA86" s="1"/>
      <c r="AB86" s="1"/>
      <c r="AC86" s="1"/>
      <c r="AD86" s="1"/>
    </row>
    <row r="87" spans="1:30" s="2" customFormat="1" hidden="1" x14ac:dyDescent="0.2">
      <c r="A87" s="134" t="s">
        <v>209</v>
      </c>
      <c r="B87" s="148">
        <f t="shared" ref="B87:G87" si="9">MAX(B74,B77,B80,B83,B86)</f>
        <v>0</v>
      </c>
      <c r="C87" s="148">
        <f t="shared" si="9"/>
        <v>0</v>
      </c>
      <c r="D87" s="148">
        <f t="shared" si="9"/>
        <v>0</v>
      </c>
      <c r="E87" s="148">
        <f t="shared" si="9"/>
        <v>0</v>
      </c>
      <c r="F87" s="148">
        <f t="shared" si="9"/>
        <v>0</v>
      </c>
      <c r="G87" s="148">
        <f t="shared" si="9"/>
        <v>0</v>
      </c>
      <c r="H87" s="123"/>
      <c r="I87" s="123"/>
      <c r="J87" s="123"/>
      <c r="K87" s="123"/>
      <c r="L87" s="1"/>
      <c r="P87" s="1"/>
      <c r="Q87" s="1"/>
      <c r="R87" s="1"/>
      <c r="S87" s="1"/>
      <c r="T87" s="1"/>
      <c r="U87" s="1"/>
      <c r="V87" s="1"/>
      <c r="W87" s="1"/>
      <c r="X87" s="1"/>
      <c r="Y87" s="1"/>
      <c r="Z87" s="1"/>
      <c r="AA87" s="1"/>
      <c r="AB87" s="1"/>
      <c r="AC87" s="1"/>
      <c r="AD87" s="1"/>
    </row>
    <row r="88" spans="1:30" s="2" customFormat="1" ht="25.5" customHeight="1" x14ac:dyDescent="0.2">
      <c r="A88" s="149" t="str">
        <f>"Annual "&amp;B66&amp;" "&amp;B70&amp;" [t/year]"</f>
        <v>Annual   [t/year]</v>
      </c>
      <c r="B88" s="150">
        <f t="shared" ref="B88:G88" si="10">24*365*B$68/(10^6)*(B$35*B$72*B$73*B$74+B$39*B$75*B$76*B$77+B$43*B$78*B$79*B$80+B$47*B$81*B$82*B$83+B$51*B$84*B$85*B$86)</f>
        <v>0</v>
      </c>
      <c r="C88" s="150">
        <f t="shared" si="10"/>
        <v>0</v>
      </c>
      <c r="D88" s="150">
        <f t="shared" si="10"/>
        <v>0</v>
      </c>
      <c r="E88" s="150">
        <f t="shared" si="10"/>
        <v>0</v>
      </c>
      <c r="F88" s="150">
        <f t="shared" si="10"/>
        <v>0</v>
      </c>
      <c r="G88" s="150">
        <f t="shared" si="10"/>
        <v>0</v>
      </c>
      <c r="H88" s="123"/>
      <c r="I88" s="123"/>
      <c r="J88" s="123"/>
      <c r="K88" s="123"/>
      <c r="L88" s="1"/>
      <c r="P88" s="1"/>
      <c r="Q88" s="1"/>
      <c r="R88" s="1"/>
      <c r="S88" s="1"/>
      <c r="T88" s="1"/>
      <c r="U88" s="1"/>
      <c r="V88" s="1"/>
      <c r="W88" s="1"/>
      <c r="X88" s="1"/>
      <c r="Y88" s="1"/>
      <c r="Z88" s="1"/>
      <c r="AA88" s="1"/>
      <c r="AB88" s="1"/>
      <c r="AC88" s="1"/>
      <c r="AD88" s="1"/>
    </row>
    <row r="89" spans="1:30" s="2" customFormat="1" x14ac:dyDescent="0.2">
      <c r="A89" s="121"/>
      <c r="B89" s="121"/>
      <c r="C89" s="121"/>
      <c r="D89" s="122"/>
      <c r="E89" s="122"/>
      <c r="F89" s="122"/>
      <c r="G89" s="122"/>
      <c r="H89" s="123"/>
      <c r="I89" s="123"/>
      <c r="J89" s="123"/>
      <c r="K89" s="123"/>
      <c r="L89" s="1"/>
      <c r="P89" s="1"/>
      <c r="Q89" s="1"/>
      <c r="R89" s="1"/>
      <c r="S89" s="1"/>
      <c r="T89" s="1"/>
      <c r="U89" s="1"/>
      <c r="V89" s="1"/>
      <c r="W89" s="1"/>
      <c r="X89" s="1"/>
      <c r="Y89" s="1"/>
      <c r="Z89" s="1"/>
      <c r="AA89" s="1"/>
      <c r="AB89" s="1"/>
      <c r="AC89" s="1"/>
      <c r="AD89" s="1"/>
    </row>
    <row r="90" spans="1:30" s="2" customFormat="1" x14ac:dyDescent="0.2">
      <c r="A90" s="130"/>
      <c r="B90" s="129" t="str">
        <f>IF(ship1="","",ship1)</f>
        <v/>
      </c>
      <c r="C90" s="129" t="str">
        <f>IF(ship2="","",ship2)</f>
        <v/>
      </c>
      <c r="D90" s="129" t="str">
        <f>IF(ship3="","",ship3)</f>
        <v/>
      </c>
      <c r="E90" s="129" t="str">
        <f>IF(ship4="","",ship4)</f>
        <v/>
      </c>
      <c r="F90" s="129" t="str">
        <f>IF(ship5="","",ship5)</f>
        <v/>
      </c>
      <c r="G90" s="129" t="str">
        <f>IF(ship6="","",ship6)</f>
        <v/>
      </c>
      <c r="H90" s="123"/>
      <c r="I90" s="123"/>
      <c r="J90" s="123"/>
      <c r="K90" s="123"/>
      <c r="L90" s="1"/>
      <c r="Q90" s="3"/>
      <c r="R90" s="3"/>
      <c r="S90" s="3"/>
      <c r="T90" s="3"/>
      <c r="U90" s="3"/>
      <c r="V90" s="3"/>
      <c r="W90" s="3"/>
      <c r="X90" s="3"/>
      <c r="Y90" s="1"/>
      <c r="Z90" s="1"/>
      <c r="AA90" s="1"/>
      <c r="AB90" s="1"/>
      <c r="AC90" s="1"/>
      <c r="AD90" s="1"/>
    </row>
    <row r="91" spans="1:30" s="2" customFormat="1" ht="25.5" customHeight="1" x14ac:dyDescent="0.2">
      <c r="A91" s="146" t="s">
        <v>29</v>
      </c>
      <c r="B91" s="185"/>
      <c r="C91" s="186"/>
      <c r="D91" s="186"/>
      <c r="E91" s="186"/>
      <c r="F91" s="186"/>
      <c r="G91" s="186"/>
      <c r="H91" s="123"/>
      <c r="I91" s="123"/>
      <c r="J91" s="123"/>
      <c r="K91" s="123"/>
      <c r="L91" s="1"/>
      <c r="Q91" s="1"/>
      <c r="R91" s="1"/>
      <c r="S91" s="1"/>
      <c r="T91" s="1"/>
      <c r="U91" s="1"/>
      <c r="V91" s="1"/>
      <c r="W91" s="1"/>
      <c r="X91" s="1"/>
      <c r="Y91" s="1"/>
      <c r="Z91" s="1"/>
      <c r="AA91" s="1"/>
      <c r="AB91" s="1"/>
      <c r="AC91" s="1"/>
      <c r="AD91" s="1"/>
    </row>
    <row r="92" spans="1:30" s="2" customFormat="1" x14ac:dyDescent="0.2">
      <c r="A92" s="121" t="s">
        <v>199</v>
      </c>
      <c r="B92" s="185"/>
      <c r="C92" s="186"/>
      <c r="D92" s="186"/>
      <c r="E92" s="186"/>
      <c r="F92" s="186"/>
      <c r="G92" s="186"/>
      <c r="H92" s="123"/>
      <c r="I92" s="123"/>
      <c r="J92" s="123"/>
      <c r="K92" s="123"/>
      <c r="L92" s="1"/>
      <c r="Q92" s="1"/>
      <c r="R92" s="1"/>
      <c r="S92" s="1"/>
      <c r="T92" s="1"/>
      <c r="U92" s="1"/>
      <c r="V92" s="1"/>
      <c r="W92" s="1"/>
      <c r="X92" s="1"/>
      <c r="Y92" s="1"/>
      <c r="Z92" s="1"/>
      <c r="AA92" s="1"/>
      <c r="AB92" s="1"/>
      <c r="AC92" s="1"/>
      <c r="AD92" s="1"/>
    </row>
    <row r="93" spans="1:30" s="2" customFormat="1" x14ac:dyDescent="0.2">
      <c r="A93" s="121" t="s">
        <v>198</v>
      </c>
      <c r="B93" s="199"/>
      <c r="C93" s="188"/>
      <c r="D93" s="188"/>
      <c r="E93" s="188"/>
      <c r="F93" s="188"/>
      <c r="G93" s="188"/>
      <c r="H93" s="123"/>
      <c r="I93" s="123"/>
      <c r="J93" s="123"/>
      <c r="K93" s="123"/>
      <c r="L93" s="1"/>
      <c r="Q93" s="1"/>
      <c r="R93" s="1"/>
      <c r="S93" s="1"/>
      <c r="T93" s="1"/>
      <c r="U93" s="1"/>
      <c r="V93" s="1"/>
      <c r="W93" s="1"/>
      <c r="X93" s="1"/>
      <c r="Y93" s="1"/>
      <c r="Z93" s="1"/>
      <c r="AA93" s="1"/>
      <c r="AB93" s="1"/>
      <c r="AC93" s="1"/>
      <c r="AD93" s="1"/>
    </row>
    <row r="94" spans="1:30" s="2" customFormat="1" x14ac:dyDescent="0.2">
      <c r="A94" s="137" t="s">
        <v>31</v>
      </c>
      <c r="B94" s="147">
        <f t="shared" ref="B94:G94" si="11">B92*B93</f>
        <v>0</v>
      </c>
      <c r="C94" s="147">
        <f t="shared" si="11"/>
        <v>0</v>
      </c>
      <c r="D94" s="147">
        <f t="shared" si="11"/>
        <v>0</v>
      </c>
      <c r="E94" s="147">
        <f t="shared" si="11"/>
        <v>0</v>
      </c>
      <c r="F94" s="147">
        <f t="shared" si="11"/>
        <v>0</v>
      </c>
      <c r="G94" s="147">
        <f t="shared" si="11"/>
        <v>0</v>
      </c>
      <c r="H94" s="123"/>
      <c r="I94" s="123"/>
      <c r="J94" s="123"/>
      <c r="K94" s="123"/>
      <c r="L94" s="1"/>
      <c r="Q94" s="1"/>
      <c r="R94" s="1"/>
      <c r="S94" s="1"/>
      <c r="T94" s="1"/>
      <c r="U94" s="1"/>
      <c r="V94" s="1"/>
      <c r="W94" s="1"/>
      <c r="X94" s="1"/>
      <c r="Y94" s="1"/>
      <c r="Z94" s="1"/>
      <c r="AA94" s="1"/>
      <c r="AB94" s="1"/>
      <c r="AC94" s="1"/>
      <c r="AD94" s="1"/>
    </row>
    <row r="95" spans="1:30" s="2" customFormat="1" x14ac:dyDescent="0.2">
      <c r="A95" s="137" t="s">
        <v>13</v>
      </c>
      <c r="B95" s="189"/>
      <c r="C95" s="190"/>
      <c r="D95" s="190"/>
      <c r="E95" s="190"/>
      <c r="F95" s="190"/>
      <c r="G95" s="190"/>
      <c r="H95" s="123"/>
      <c r="I95" s="123"/>
      <c r="J95" s="123"/>
      <c r="K95" s="123"/>
      <c r="L95" s="1"/>
      <c r="Q95" s="1"/>
      <c r="R95" s="1"/>
      <c r="S95" s="1"/>
      <c r="T95" s="1"/>
      <c r="U95" s="1"/>
      <c r="V95" s="1"/>
      <c r="W95" s="1"/>
      <c r="X95" s="1"/>
      <c r="Y95" s="1"/>
      <c r="Z95" s="1"/>
      <c r="AA95" s="1"/>
      <c r="AB95" s="1"/>
      <c r="AC95" s="1"/>
      <c r="AD95" s="1"/>
    </row>
    <row r="96" spans="1:30" s="2" customFormat="1" x14ac:dyDescent="0.2">
      <c r="A96" s="137"/>
      <c r="B96" s="147"/>
      <c r="C96" s="147"/>
      <c r="D96" s="147"/>
      <c r="E96" s="147"/>
      <c r="F96" s="147"/>
      <c r="G96" s="147"/>
      <c r="H96" s="123"/>
      <c r="I96" s="123"/>
      <c r="J96" s="123"/>
      <c r="K96" s="123"/>
      <c r="L96" s="1"/>
      <c r="Q96" s="1"/>
      <c r="R96" s="1"/>
      <c r="S96" s="1"/>
      <c r="T96" s="1"/>
      <c r="U96" s="1"/>
      <c r="V96" s="1"/>
      <c r="W96" s="1"/>
      <c r="X96" s="1"/>
      <c r="Y96" s="1"/>
      <c r="Z96" s="1"/>
      <c r="AA96" s="1"/>
      <c r="AB96" s="1"/>
      <c r="AC96" s="1"/>
      <c r="AD96" s="1"/>
    </row>
    <row r="97" spans="1:30" s="2" customFormat="1" x14ac:dyDescent="0.2">
      <c r="A97" s="137" t="str">
        <f>"Number of units used at "&amp;$B$27</f>
        <v xml:space="preserve">Number of units used at </v>
      </c>
      <c r="B97" s="200"/>
      <c r="C97" s="200"/>
      <c r="D97" s="192"/>
      <c r="E97" s="192"/>
      <c r="F97" s="192"/>
      <c r="G97" s="192"/>
      <c r="H97" s="123"/>
      <c r="I97" s="123"/>
      <c r="J97" s="123"/>
      <c r="K97" s="123"/>
      <c r="L97" s="1"/>
      <c r="Q97" s="1"/>
      <c r="R97" s="1"/>
      <c r="S97" s="1"/>
      <c r="T97" s="1"/>
      <c r="U97" s="1"/>
      <c r="V97" s="1"/>
      <c r="W97" s="1"/>
      <c r="X97" s="1"/>
      <c r="Y97" s="1"/>
      <c r="Z97" s="1"/>
      <c r="AA97" s="1"/>
      <c r="AB97" s="1"/>
      <c r="AC97" s="1"/>
      <c r="AD97" s="1"/>
    </row>
    <row r="98" spans="1:30" s="2" customFormat="1" x14ac:dyDescent="0.2">
      <c r="A98" s="137" t="str">
        <f>"% MCR at "&amp;$B$27</f>
        <v xml:space="preserve">% MCR at </v>
      </c>
      <c r="B98" s="201"/>
      <c r="C98" s="201"/>
      <c r="D98" s="193"/>
      <c r="E98" s="193"/>
      <c r="F98" s="193"/>
      <c r="G98" s="193"/>
      <c r="H98" s="123"/>
      <c r="I98" s="123"/>
      <c r="J98" s="123"/>
      <c r="K98" s="123"/>
      <c r="L98" s="1"/>
      <c r="Q98" s="1"/>
      <c r="R98" s="1"/>
      <c r="S98" s="1"/>
      <c r="T98" s="1"/>
      <c r="U98" s="1"/>
      <c r="V98" s="1"/>
      <c r="W98" s="1"/>
      <c r="X98" s="1"/>
      <c r="Y98" s="1"/>
      <c r="Z98" s="1"/>
      <c r="AA98" s="1"/>
      <c r="AB98" s="1"/>
      <c r="AC98" s="1"/>
      <c r="AD98" s="1"/>
    </row>
    <row r="99" spans="1:30" s="2" customFormat="1" x14ac:dyDescent="0.2">
      <c r="A99" s="134" t="str">
        <f>"SFOC at "&amp;B98*100&amp; "% MCR"</f>
        <v>SFOC at 0% MCR</v>
      </c>
      <c r="B99" s="202"/>
      <c r="C99" s="202"/>
      <c r="D99" s="195"/>
      <c r="E99" s="195"/>
      <c r="F99" s="195"/>
      <c r="G99" s="195"/>
      <c r="H99" s="123"/>
      <c r="I99" s="123"/>
      <c r="J99" s="123"/>
      <c r="K99" s="123"/>
      <c r="L99" s="1"/>
      <c r="Q99" s="1"/>
      <c r="R99" s="1"/>
      <c r="S99" s="1"/>
      <c r="T99" s="1"/>
      <c r="U99" s="1"/>
      <c r="V99" s="1"/>
      <c r="W99" s="1"/>
      <c r="X99" s="1"/>
      <c r="Y99" s="1"/>
      <c r="Z99" s="1"/>
      <c r="AA99" s="1"/>
      <c r="AB99" s="1"/>
      <c r="AC99" s="1"/>
      <c r="AD99" s="1"/>
    </row>
    <row r="100" spans="1:30" s="2" customFormat="1" x14ac:dyDescent="0.2">
      <c r="A100" s="137" t="str">
        <f>"Number of units used at "&amp;$B$28</f>
        <v xml:space="preserve">Number of units used at </v>
      </c>
      <c r="B100" s="200"/>
      <c r="C100" s="200"/>
      <c r="D100" s="192"/>
      <c r="E100" s="192"/>
      <c r="F100" s="192"/>
      <c r="G100" s="192"/>
      <c r="H100" s="123"/>
      <c r="I100" s="123"/>
      <c r="J100" s="123"/>
      <c r="K100" s="123"/>
      <c r="L100" s="1"/>
      <c r="Q100" s="1"/>
      <c r="R100" s="1"/>
      <c r="S100" s="1"/>
      <c r="T100" s="1"/>
      <c r="U100" s="1"/>
      <c r="V100" s="1"/>
      <c r="W100" s="1"/>
      <c r="X100" s="1"/>
      <c r="Y100" s="1"/>
      <c r="Z100" s="1"/>
      <c r="AA100" s="1"/>
      <c r="AB100" s="1"/>
      <c r="AC100" s="1"/>
      <c r="AD100" s="1"/>
    </row>
    <row r="101" spans="1:30" s="2" customFormat="1" x14ac:dyDescent="0.2">
      <c r="A101" s="137" t="str">
        <f>"% MCR at "&amp;$B$28</f>
        <v xml:space="preserve">% MCR at </v>
      </c>
      <c r="B101" s="201"/>
      <c r="C101" s="201"/>
      <c r="D101" s="193"/>
      <c r="E101" s="193"/>
      <c r="F101" s="193"/>
      <c r="G101" s="193"/>
      <c r="H101" s="123"/>
      <c r="I101" s="123"/>
      <c r="J101" s="123"/>
      <c r="K101" s="123"/>
      <c r="L101" s="1"/>
      <c r="Q101" s="1"/>
      <c r="R101" s="1"/>
      <c r="S101" s="1"/>
      <c r="T101" s="1"/>
      <c r="U101" s="1"/>
      <c r="V101" s="1"/>
      <c r="W101" s="1"/>
      <c r="X101" s="1"/>
      <c r="Y101" s="1"/>
      <c r="Z101" s="1"/>
      <c r="AA101" s="1"/>
      <c r="AB101" s="1"/>
      <c r="AC101" s="1"/>
      <c r="AD101" s="1"/>
    </row>
    <row r="102" spans="1:30" s="2" customFormat="1" x14ac:dyDescent="0.2">
      <c r="A102" s="134" t="str">
        <f>"SFOC at "&amp;B101*100&amp; "% MCR"</f>
        <v>SFOC at 0% MCR</v>
      </c>
      <c r="B102" s="202"/>
      <c r="C102" s="202"/>
      <c r="D102" s="195"/>
      <c r="E102" s="195"/>
      <c r="F102" s="195"/>
      <c r="G102" s="195"/>
      <c r="H102" s="123"/>
      <c r="I102" s="123"/>
      <c r="J102" s="123"/>
      <c r="K102" s="123"/>
      <c r="L102" s="1"/>
      <c r="Q102" s="1"/>
      <c r="R102" s="1"/>
      <c r="S102" s="1"/>
      <c r="T102" s="1"/>
      <c r="U102" s="1"/>
      <c r="V102" s="1"/>
      <c r="W102" s="1"/>
      <c r="X102" s="1"/>
      <c r="Y102" s="1"/>
      <c r="Z102" s="1"/>
      <c r="AA102" s="1"/>
      <c r="AB102" s="1"/>
      <c r="AC102" s="1"/>
      <c r="AD102" s="1"/>
    </row>
    <row r="103" spans="1:30" s="2" customFormat="1" x14ac:dyDescent="0.2">
      <c r="A103" s="137" t="str">
        <f>"Number of units used at "&amp;$B$29</f>
        <v xml:space="preserve">Number of units used at </v>
      </c>
      <c r="B103" s="200"/>
      <c r="C103" s="200"/>
      <c r="D103" s="192"/>
      <c r="E103" s="192"/>
      <c r="F103" s="192"/>
      <c r="G103" s="192"/>
      <c r="H103" s="123"/>
      <c r="I103" s="123"/>
      <c r="J103" s="123"/>
      <c r="K103" s="123"/>
      <c r="L103" s="1"/>
      <c r="Q103" s="1"/>
      <c r="R103" s="1"/>
      <c r="S103" s="1"/>
      <c r="T103" s="1"/>
      <c r="U103" s="1"/>
      <c r="V103" s="1"/>
      <c r="W103" s="1"/>
      <c r="X103" s="1"/>
      <c r="Y103" s="1"/>
      <c r="Z103" s="1"/>
      <c r="AA103" s="1"/>
      <c r="AB103" s="1"/>
      <c r="AC103" s="1"/>
      <c r="AD103" s="1"/>
    </row>
    <row r="104" spans="1:30" s="2" customFormat="1" x14ac:dyDescent="0.2">
      <c r="A104" s="137" t="str">
        <f>"% MCR at "&amp;$B$29</f>
        <v xml:space="preserve">% MCR at </v>
      </c>
      <c r="B104" s="201"/>
      <c r="C104" s="201"/>
      <c r="D104" s="193"/>
      <c r="E104" s="193"/>
      <c r="F104" s="193"/>
      <c r="G104" s="193"/>
      <c r="H104" s="123"/>
      <c r="I104" s="123"/>
      <c r="J104" s="123"/>
      <c r="K104" s="123"/>
      <c r="L104" s="1"/>
      <c r="Q104" s="1"/>
      <c r="R104" s="1"/>
      <c r="S104" s="1"/>
      <c r="T104" s="1"/>
      <c r="U104" s="1"/>
      <c r="V104" s="1"/>
      <c r="W104" s="1"/>
      <c r="X104" s="1"/>
      <c r="Y104" s="1"/>
      <c r="Z104" s="1"/>
      <c r="AA104" s="1"/>
      <c r="AB104" s="1"/>
      <c r="AC104" s="1"/>
      <c r="AD104" s="1"/>
    </row>
    <row r="105" spans="1:30" s="2" customFormat="1" x14ac:dyDescent="0.2">
      <c r="A105" s="134" t="str">
        <f>"SFOC at "&amp;B104*100&amp; "% MCR"</f>
        <v>SFOC at 0% MCR</v>
      </c>
      <c r="B105" s="202"/>
      <c r="C105" s="202"/>
      <c r="D105" s="195"/>
      <c r="E105" s="195"/>
      <c r="F105" s="195"/>
      <c r="G105" s="195"/>
      <c r="H105" s="123"/>
      <c r="I105" s="123"/>
      <c r="J105" s="123"/>
      <c r="K105" s="123"/>
      <c r="L105" s="1"/>
      <c r="Q105" s="1"/>
      <c r="R105" s="1"/>
      <c r="S105" s="1"/>
      <c r="T105" s="1"/>
      <c r="U105" s="1"/>
      <c r="V105" s="1"/>
      <c r="W105" s="1"/>
      <c r="X105" s="1"/>
      <c r="Y105" s="1"/>
      <c r="Z105" s="1"/>
      <c r="AA105" s="1"/>
      <c r="AB105" s="1"/>
      <c r="AC105" s="1"/>
      <c r="AD105" s="1"/>
    </row>
    <row r="106" spans="1:30" s="2" customFormat="1" x14ac:dyDescent="0.2">
      <c r="A106" s="137" t="str">
        <f>"Number of units used at "&amp;$B$30</f>
        <v xml:space="preserve">Number of units used at </v>
      </c>
      <c r="B106" s="200"/>
      <c r="C106" s="200"/>
      <c r="D106" s="192"/>
      <c r="E106" s="192"/>
      <c r="F106" s="192"/>
      <c r="G106" s="192"/>
      <c r="H106" s="123"/>
      <c r="I106" s="123"/>
      <c r="J106" s="123"/>
      <c r="K106" s="123"/>
      <c r="L106" s="1"/>
      <c r="Q106" s="1"/>
      <c r="R106" s="1"/>
      <c r="S106" s="1"/>
      <c r="T106" s="1"/>
      <c r="U106" s="1"/>
      <c r="V106" s="1"/>
      <c r="W106" s="1"/>
      <c r="X106" s="1"/>
      <c r="Y106" s="1"/>
      <c r="Z106" s="1"/>
      <c r="AA106" s="1"/>
      <c r="AB106" s="1"/>
      <c r="AC106" s="1"/>
      <c r="AD106" s="1"/>
    </row>
    <row r="107" spans="1:30" s="2" customFormat="1" x14ac:dyDescent="0.2">
      <c r="A107" s="137" t="str">
        <f>"% MCR at "&amp;$B$30</f>
        <v xml:space="preserve">% MCR at </v>
      </c>
      <c r="B107" s="201"/>
      <c r="C107" s="201"/>
      <c r="D107" s="193"/>
      <c r="E107" s="193"/>
      <c r="F107" s="193"/>
      <c r="G107" s="193"/>
      <c r="H107" s="123"/>
      <c r="I107" s="123"/>
      <c r="J107" s="123"/>
      <c r="K107" s="123"/>
      <c r="L107" s="1"/>
      <c r="Q107" s="1"/>
      <c r="R107" s="1"/>
      <c r="S107" s="1"/>
      <c r="T107" s="1"/>
      <c r="U107" s="1"/>
      <c r="V107" s="1"/>
      <c r="W107" s="1"/>
      <c r="X107" s="1"/>
      <c r="Y107" s="1"/>
      <c r="Z107" s="1"/>
      <c r="AA107" s="1"/>
      <c r="AB107" s="1"/>
      <c r="AC107" s="1"/>
      <c r="AD107" s="1"/>
    </row>
    <row r="108" spans="1:30" s="2" customFormat="1" x14ac:dyDescent="0.2">
      <c r="A108" s="134" t="str">
        <f>"SFOC at "&amp;B107*100&amp; "% MCR"</f>
        <v>SFOC at 0% MCR</v>
      </c>
      <c r="B108" s="202"/>
      <c r="C108" s="202"/>
      <c r="D108" s="195"/>
      <c r="E108" s="195"/>
      <c r="F108" s="195"/>
      <c r="G108" s="195"/>
      <c r="H108" s="123"/>
      <c r="I108" s="123"/>
      <c r="J108" s="123"/>
      <c r="K108" s="123"/>
      <c r="L108" s="1"/>
      <c r="Q108" s="1"/>
      <c r="R108" s="1"/>
      <c r="S108" s="1"/>
      <c r="T108" s="1"/>
      <c r="U108" s="1"/>
      <c r="V108" s="1"/>
      <c r="W108" s="1"/>
      <c r="X108" s="1"/>
      <c r="Y108" s="1"/>
      <c r="Z108" s="1"/>
      <c r="AA108" s="1"/>
      <c r="AB108" s="1"/>
      <c r="AC108" s="1"/>
      <c r="AD108" s="1"/>
    </row>
    <row r="109" spans="1:30" s="2" customFormat="1" x14ac:dyDescent="0.2">
      <c r="A109" s="137" t="str">
        <f>"Number of units used at "&amp;$B$31</f>
        <v xml:space="preserve">Number of units used at </v>
      </c>
      <c r="B109" s="200"/>
      <c r="C109" s="200"/>
      <c r="D109" s="192"/>
      <c r="E109" s="192"/>
      <c r="F109" s="192"/>
      <c r="G109" s="192"/>
      <c r="H109" s="123"/>
      <c r="I109" s="123"/>
      <c r="J109" s="123"/>
      <c r="K109" s="123"/>
      <c r="L109" s="1"/>
      <c r="Q109" s="1"/>
      <c r="R109" s="1"/>
      <c r="S109" s="1"/>
      <c r="T109" s="1"/>
      <c r="U109" s="1"/>
      <c r="V109" s="1"/>
      <c r="W109" s="1"/>
      <c r="X109" s="1"/>
      <c r="Y109" s="1"/>
      <c r="Z109" s="1"/>
      <c r="AA109" s="1"/>
      <c r="AB109" s="1"/>
      <c r="AC109" s="1"/>
      <c r="AD109" s="1"/>
    </row>
    <row r="110" spans="1:30" s="2" customFormat="1" x14ac:dyDescent="0.2">
      <c r="A110" s="137" t="str">
        <f>"% MCR at "&amp;$B$31</f>
        <v xml:space="preserve">% MCR at </v>
      </c>
      <c r="B110" s="201"/>
      <c r="C110" s="201"/>
      <c r="D110" s="193"/>
      <c r="E110" s="193"/>
      <c r="F110" s="193"/>
      <c r="G110" s="193"/>
      <c r="H110" s="123"/>
      <c r="I110" s="123"/>
      <c r="J110" s="123"/>
      <c r="K110" s="123"/>
      <c r="L110" s="1"/>
      <c r="Q110" s="1"/>
      <c r="R110" s="1"/>
      <c r="S110" s="1"/>
      <c r="T110" s="1"/>
      <c r="U110" s="1"/>
      <c r="V110" s="1"/>
      <c r="W110" s="1"/>
      <c r="X110" s="1"/>
      <c r="Y110" s="1"/>
      <c r="Z110" s="1"/>
      <c r="AA110" s="1"/>
      <c r="AB110" s="1"/>
      <c r="AC110" s="1"/>
      <c r="AD110" s="1"/>
    </row>
    <row r="111" spans="1:30" s="2" customFormat="1" x14ac:dyDescent="0.2">
      <c r="A111" s="134" t="str">
        <f>"SFOC at "&amp;B110*100&amp; "% MCR"</f>
        <v>SFOC at 0% MCR</v>
      </c>
      <c r="B111" s="202"/>
      <c r="C111" s="202"/>
      <c r="D111" s="195"/>
      <c r="E111" s="195"/>
      <c r="F111" s="195"/>
      <c r="G111" s="195"/>
      <c r="H111" s="123"/>
      <c r="I111" s="123"/>
      <c r="J111" s="123"/>
      <c r="K111" s="123"/>
      <c r="L111" s="1"/>
      <c r="P111" s="1"/>
      <c r="Q111" s="1"/>
      <c r="R111" s="1"/>
      <c r="S111" s="1"/>
      <c r="T111" s="1"/>
      <c r="U111" s="1"/>
      <c r="V111" s="1"/>
      <c r="W111" s="1"/>
      <c r="X111" s="1"/>
      <c r="Y111" s="1"/>
      <c r="Z111" s="1"/>
      <c r="AA111" s="1"/>
      <c r="AB111" s="1"/>
      <c r="AC111" s="1"/>
      <c r="AD111" s="1"/>
    </row>
    <row r="112" spans="1:30" s="2" customFormat="1" hidden="1" x14ac:dyDescent="0.2">
      <c r="A112" s="134" t="s">
        <v>209</v>
      </c>
      <c r="B112" s="148">
        <f t="shared" ref="B112:G112" si="12">MAX(B99,B102,B105,B108,B111)</f>
        <v>0</v>
      </c>
      <c r="C112" s="148">
        <f t="shared" si="12"/>
        <v>0</v>
      </c>
      <c r="D112" s="148">
        <f t="shared" si="12"/>
        <v>0</v>
      </c>
      <c r="E112" s="148">
        <f t="shared" si="12"/>
        <v>0</v>
      </c>
      <c r="F112" s="148">
        <f t="shared" si="12"/>
        <v>0</v>
      </c>
      <c r="G112" s="148">
        <f t="shared" si="12"/>
        <v>0</v>
      </c>
      <c r="H112" s="123"/>
      <c r="I112" s="123"/>
      <c r="J112" s="123"/>
      <c r="K112" s="123"/>
      <c r="L112" s="1"/>
      <c r="P112" s="1"/>
      <c r="Q112" s="1"/>
      <c r="R112" s="1"/>
      <c r="S112" s="1"/>
      <c r="T112" s="1"/>
      <c r="U112" s="1"/>
      <c r="V112" s="1"/>
      <c r="W112" s="1"/>
      <c r="X112" s="1"/>
      <c r="Y112" s="1"/>
      <c r="Z112" s="1"/>
      <c r="AA112" s="1"/>
      <c r="AB112" s="1"/>
      <c r="AC112" s="1"/>
      <c r="AD112" s="1"/>
    </row>
    <row r="113" spans="1:30" s="22" customFormat="1" ht="25.5" customHeight="1" x14ac:dyDescent="0.2">
      <c r="A113" s="149" t="str">
        <f>"Annual "&amp;B91&amp;" "&amp;B95&amp;" [t/year]"</f>
        <v>Annual   [t/year]</v>
      </c>
      <c r="B113" s="151">
        <f t="shared" ref="B113:G113" si="13">24*365*B$93/(10^6)*(B$35*B$97*B$98*B$99+B$39*B$100*B$101*B$102+B$43*B$103*B$104*B$105+B$47*B$106*B$107*B$108+B$51*B$109*B$110*B$111)</f>
        <v>0</v>
      </c>
      <c r="C113" s="151">
        <f t="shared" si="13"/>
        <v>0</v>
      </c>
      <c r="D113" s="151">
        <f t="shared" si="13"/>
        <v>0</v>
      </c>
      <c r="E113" s="151">
        <f t="shared" si="13"/>
        <v>0</v>
      </c>
      <c r="F113" s="151">
        <f t="shared" si="13"/>
        <v>0</v>
      </c>
      <c r="G113" s="151">
        <f t="shared" si="13"/>
        <v>0</v>
      </c>
      <c r="H113" s="152"/>
      <c r="I113" s="152"/>
      <c r="J113" s="152"/>
      <c r="K113" s="152"/>
      <c r="L113" s="21"/>
      <c r="P113" s="21"/>
      <c r="Q113" s="21"/>
      <c r="R113" s="21"/>
      <c r="S113" s="21"/>
      <c r="T113" s="21"/>
      <c r="U113" s="21"/>
      <c r="V113" s="21"/>
      <c r="W113" s="21"/>
      <c r="X113" s="21"/>
      <c r="Y113" s="21"/>
      <c r="Z113" s="21"/>
      <c r="AA113" s="21"/>
      <c r="AB113" s="21"/>
      <c r="AC113" s="21"/>
      <c r="AD113" s="21"/>
    </row>
    <row r="114" spans="1:30" s="2" customFormat="1" x14ac:dyDescent="0.2">
      <c r="A114" s="153"/>
      <c r="B114" s="129"/>
      <c r="C114" s="129"/>
      <c r="D114" s="129"/>
      <c r="E114" s="129"/>
      <c r="F114" s="129"/>
      <c r="G114" s="129"/>
      <c r="H114" s="123"/>
      <c r="I114" s="123"/>
      <c r="J114" s="123"/>
      <c r="K114" s="123"/>
      <c r="L114" s="1"/>
      <c r="P114" s="1"/>
      <c r="Q114" s="1"/>
      <c r="R114" s="1"/>
      <c r="S114" s="1"/>
      <c r="T114" s="1"/>
      <c r="U114" s="1"/>
      <c r="V114" s="1"/>
      <c r="W114" s="1"/>
      <c r="X114" s="1"/>
      <c r="Y114" s="1"/>
      <c r="Z114" s="1"/>
      <c r="AA114" s="1"/>
      <c r="AB114" s="1"/>
      <c r="AC114" s="1"/>
      <c r="AD114" s="1"/>
    </row>
    <row r="115" spans="1:30" s="2" customFormat="1" x14ac:dyDescent="0.2">
      <c r="A115" s="130"/>
      <c r="B115" s="129" t="str">
        <f>IF(ship1="","",ship1)</f>
        <v/>
      </c>
      <c r="C115" s="129" t="str">
        <f>IF(ship2="","",ship2)</f>
        <v/>
      </c>
      <c r="D115" s="129" t="str">
        <f>IF(ship3="","",ship3)</f>
        <v/>
      </c>
      <c r="E115" s="129" t="str">
        <f>IF(ship4="","",ship4)</f>
        <v/>
      </c>
      <c r="F115" s="129" t="str">
        <f>IF(ship5="","",ship5)</f>
        <v/>
      </c>
      <c r="G115" s="129" t="str">
        <f>IF(ship6="","",ship6)</f>
        <v/>
      </c>
      <c r="H115" s="123"/>
      <c r="I115" s="123"/>
      <c r="J115" s="123"/>
      <c r="K115" s="123"/>
      <c r="L115" s="1"/>
      <c r="Q115" s="3"/>
      <c r="R115" s="3"/>
      <c r="S115" s="3"/>
      <c r="T115" s="3"/>
      <c r="U115" s="3"/>
      <c r="V115" s="3"/>
      <c r="W115" s="3"/>
      <c r="X115" s="3"/>
      <c r="Y115" s="1"/>
      <c r="Z115" s="1"/>
      <c r="AA115" s="1"/>
      <c r="AB115" s="1"/>
      <c r="AC115" s="1"/>
      <c r="AD115" s="1"/>
    </row>
    <row r="116" spans="1:30" s="2" customFormat="1" ht="25.5" customHeight="1" x14ac:dyDescent="0.2">
      <c r="A116" s="146" t="s">
        <v>30</v>
      </c>
      <c r="B116" s="185"/>
      <c r="C116" s="186"/>
      <c r="D116" s="186"/>
      <c r="E116" s="186"/>
      <c r="F116" s="186"/>
      <c r="G116" s="186"/>
      <c r="H116" s="123"/>
      <c r="I116" s="123"/>
      <c r="J116" s="123"/>
      <c r="K116" s="123"/>
      <c r="L116" s="1"/>
      <c r="Q116" s="1"/>
      <c r="R116" s="1"/>
      <c r="S116" s="1"/>
      <c r="T116" s="1"/>
      <c r="U116" s="1"/>
      <c r="V116" s="1"/>
      <c r="W116" s="1"/>
      <c r="X116" s="1"/>
      <c r="Y116" s="1"/>
      <c r="Z116" s="1"/>
      <c r="AA116" s="1"/>
      <c r="AB116" s="1"/>
      <c r="AC116" s="1"/>
      <c r="AD116" s="1"/>
    </row>
    <row r="117" spans="1:30" s="2" customFormat="1" x14ac:dyDescent="0.2">
      <c r="A117" s="121" t="s">
        <v>199</v>
      </c>
      <c r="B117" s="185"/>
      <c r="C117" s="186"/>
      <c r="D117" s="186"/>
      <c r="E117" s="186"/>
      <c r="F117" s="186"/>
      <c r="G117" s="186"/>
      <c r="H117" s="123"/>
      <c r="I117" s="123"/>
      <c r="J117" s="123"/>
      <c r="K117" s="123"/>
      <c r="L117" s="1"/>
      <c r="Q117" s="1"/>
      <c r="R117" s="1"/>
      <c r="S117" s="1"/>
      <c r="T117" s="1"/>
      <c r="U117" s="1"/>
      <c r="V117" s="1"/>
      <c r="W117" s="1"/>
      <c r="X117" s="1"/>
      <c r="Y117" s="1"/>
      <c r="Z117" s="1"/>
      <c r="AA117" s="1"/>
      <c r="AB117" s="1"/>
      <c r="AC117" s="1"/>
      <c r="AD117" s="1"/>
    </row>
    <row r="118" spans="1:30" s="2" customFormat="1" x14ac:dyDescent="0.2">
      <c r="A118" s="121" t="s">
        <v>198</v>
      </c>
      <c r="B118" s="199"/>
      <c r="C118" s="188"/>
      <c r="D118" s="188"/>
      <c r="E118" s="188"/>
      <c r="F118" s="188"/>
      <c r="G118" s="188"/>
      <c r="H118" s="123"/>
      <c r="I118" s="123"/>
      <c r="J118" s="123"/>
      <c r="K118" s="123"/>
      <c r="L118" s="1"/>
      <c r="Q118" s="1"/>
      <c r="R118" s="1"/>
      <c r="S118" s="1"/>
      <c r="T118" s="1"/>
      <c r="U118" s="1"/>
      <c r="V118" s="1"/>
      <c r="W118" s="1"/>
      <c r="X118" s="1"/>
      <c r="Y118" s="1"/>
      <c r="Z118" s="1"/>
      <c r="AA118" s="1"/>
      <c r="AB118" s="1"/>
      <c r="AC118" s="1"/>
      <c r="AD118" s="1"/>
    </row>
    <row r="119" spans="1:30" s="2" customFormat="1" x14ac:dyDescent="0.2">
      <c r="A119" s="137" t="s">
        <v>31</v>
      </c>
      <c r="B119" s="147">
        <f t="shared" ref="B119:G119" si="14">B117*B118</f>
        <v>0</v>
      </c>
      <c r="C119" s="147">
        <f t="shared" si="14"/>
        <v>0</v>
      </c>
      <c r="D119" s="147">
        <f t="shared" si="14"/>
        <v>0</v>
      </c>
      <c r="E119" s="147">
        <f t="shared" si="14"/>
        <v>0</v>
      </c>
      <c r="F119" s="147">
        <f t="shared" si="14"/>
        <v>0</v>
      </c>
      <c r="G119" s="147">
        <f t="shared" si="14"/>
        <v>0</v>
      </c>
      <c r="H119" s="123"/>
      <c r="I119" s="123"/>
      <c r="J119" s="123"/>
      <c r="K119" s="123"/>
      <c r="L119" s="1"/>
      <c r="Q119" s="1"/>
      <c r="R119" s="1"/>
      <c r="S119" s="1"/>
      <c r="T119" s="1"/>
      <c r="U119" s="1"/>
      <c r="V119" s="1"/>
      <c r="W119" s="1"/>
      <c r="X119" s="1"/>
      <c r="Y119" s="1"/>
      <c r="Z119" s="1"/>
      <c r="AA119" s="1"/>
      <c r="AB119" s="1"/>
      <c r="AC119" s="1"/>
      <c r="AD119" s="1"/>
    </row>
    <row r="120" spans="1:30" s="2" customFormat="1" x14ac:dyDescent="0.2">
      <c r="A120" s="137" t="s">
        <v>13</v>
      </c>
      <c r="B120" s="189"/>
      <c r="C120" s="190"/>
      <c r="D120" s="190"/>
      <c r="E120" s="190"/>
      <c r="F120" s="190"/>
      <c r="G120" s="190"/>
      <c r="H120" s="123"/>
      <c r="I120" s="123"/>
      <c r="J120" s="123"/>
      <c r="K120" s="123"/>
      <c r="L120" s="1"/>
      <c r="Q120" s="1"/>
      <c r="R120" s="1"/>
      <c r="S120" s="1"/>
      <c r="T120" s="1"/>
      <c r="U120" s="1"/>
      <c r="V120" s="1"/>
      <c r="W120" s="1"/>
      <c r="X120" s="1"/>
      <c r="Y120" s="1"/>
      <c r="Z120" s="1"/>
      <c r="AA120" s="1"/>
      <c r="AB120" s="1"/>
      <c r="AC120" s="1"/>
      <c r="AD120" s="1"/>
    </row>
    <row r="121" spans="1:30" s="2" customFormat="1" x14ac:dyDescent="0.2">
      <c r="A121" s="137"/>
      <c r="B121" s="147"/>
      <c r="C121" s="147"/>
      <c r="D121" s="147"/>
      <c r="E121" s="147"/>
      <c r="F121" s="147"/>
      <c r="G121" s="147"/>
      <c r="H121" s="123"/>
      <c r="I121" s="123"/>
      <c r="J121" s="123"/>
      <c r="K121" s="123"/>
      <c r="L121" s="1"/>
      <c r="Q121" s="1"/>
      <c r="R121" s="1"/>
      <c r="S121" s="1"/>
      <c r="T121" s="1"/>
      <c r="U121" s="1"/>
      <c r="V121" s="1"/>
      <c r="W121" s="1"/>
      <c r="X121" s="1"/>
      <c r="Y121" s="1"/>
      <c r="Z121" s="1"/>
      <c r="AA121" s="1"/>
      <c r="AB121" s="1"/>
      <c r="AC121" s="1"/>
      <c r="AD121" s="1"/>
    </row>
    <row r="122" spans="1:30" s="2" customFormat="1" x14ac:dyDescent="0.2">
      <c r="A122" s="137" t="str">
        <f>"Number of units used at "&amp;$B$27</f>
        <v xml:space="preserve">Number of units used at </v>
      </c>
      <c r="B122" s="191"/>
      <c r="C122" s="192"/>
      <c r="D122" s="192"/>
      <c r="E122" s="192"/>
      <c r="F122" s="192"/>
      <c r="G122" s="192"/>
      <c r="H122" s="123"/>
      <c r="I122" s="123"/>
      <c r="J122" s="123"/>
      <c r="K122" s="123"/>
      <c r="L122" s="1"/>
      <c r="Q122" s="1"/>
      <c r="R122" s="1"/>
      <c r="S122" s="1"/>
      <c r="T122" s="1"/>
      <c r="U122" s="1"/>
      <c r="V122" s="1"/>
      <c r="W122" s="1"/>
      <c r="X122" s="1"/>
      <c r="Y122" s="1"/>
      <c r="Z122" s="1"/>
      <c r="AA122" s="1"/>
      <c r="AB122" s="1"/>
      <c r="AC122" s="1"/>
      <c r="AD122" s="1"/>
    </row>
    <row r="123" spans="1:30" s="2" customFormat="1" x14ac:dyDescent="0.2">
      <c r="A123" s="137" t="str">
        <f>"% MCR at "&amp;$B$27</f>
        <v xml:space="preserve">% MCR at </v>
      </c>
      <c r="B123" s="196"/>
      <c r="C123" s="193"/>
      <c r="D123" s="193"/>
      <c r="E123" s="193"/>
      <c r="F123" s="193"/>
      <c r="G123" s="193"/>
      <c r="H123" s="123"/>
      <c r="I123" s="123"/>
      <c r="J123" s="123"/>
      <c r="K123" s="123"/>
      <c r="L123" s="1"/>
      <c r="Q123" s="1"/>
      <c r="R123" s="1"/>
      <c r="S123" s="1"/>
      <c r="T123" s="1"/>
      <c r="U123" s="1"/>
      <c r="V123" s="1"/>
      <c r="W123" s="1"/>
      <c r="X123" s="1"/>
      <c r="Y123" s="1"/>
      <c r="Z123" s="1"/>
      <c r="AA123" s="1"/>
      <c r="AB123" s="1"/>
      <c r="AC123" s="1"/>
      <c r="AD123" s="1"/>
    </row>
    <row r="124" spans="1:30" s="2" customFormat="1" x14ac:dyDescent="0.2">
      <c r="A124" s="134" t="str">
        <f>"SFOC at "&amp;B123*100&amp; "% MCR"</f>
        <v>SFOC at 0% MCR</v>
      </c>
      <c r="B124" s="194"/>
      <c r="C124" s="195"/>
      <c r="D124" s="195"/>
      <c r="E124" s="195"/>
      <c r="F124" s="195"/>
      <c r="G124" s="195"/>
      <c r="H124" s="123"/>
      <c r="I124" s="123"/>
      <c r="J124" s="123"/>
      <c r="K124" s="123"/>
      <c r="L124" s="1"/>
      <c r="Q124" s="1"/>
      <c r="R124" s="1"/>
      <c r="S124" s="1"/>
      <c r="T124" s="1"/>
      <c r="U124" s="1"/>
      <c r="V124" s="1"/>
      <c r="W124" s="1"/>
      <c r="X124" s="1"/>
      <c r="Y124" s="1"/>
      <c r="Z124" s="1"/>
      <c r="AA124" s="1"/>
      <c r="AB124" s="1"/>
      <c r="AC124" s="1"/>
      <c r="AD124" s="1"/>
    </row>
    <row r="125" spans="1:30" s="2" customFormat="1" x14ac:dyDescent="0.2">
      <c r="A125" s="137" t="str">
        <f>"Number of units used at "&amp;$B$28</f>
        <v xml:space="preserve">Number of units used at </v>
      </c>
      <c r="B125" s="191"/>
      <c r="C125" s="192"/>
      <c r="D125" s="192"/>
      <c r="E125" s="192"/>
      <c r="F125" s="192"/>
      <c r="G125" s="192"/>
      <c r="H125" s="123"/>
      <c r="I125" s="123"/>
      <c r="J125" s="123"/>
      <c r="K125" s="123"/>
      <c r="L125" s="1"/>
      <c r="Q125" s="1"/>
      <c r="R125" s="1"/>
      <c r="S125" s="1"/>
      <c r="T125" s="1"/>
      <c r="U125" s="1"/>
      <c r="V125" s="1"/>
      <c r="W125" s="1"/>
      <c r="X125" s="1"/>
      <c r="Y125" s="1"/>
      <c r="Z125" s="1"/>
      <c r="AA125" s="1"/>
      <c r="AB125" s="1"/>
      <c r="AC125" s="1"/>
      <c r="AD125" s="1"/>
    </row>
    <row r="126" spans="1:30" s="2" customFormat="1" x14ac:dyDescent="0.2">
      <c r="A126" s="137" t="str">
        <f>"% MCR at "&amp;$B$28</f>
        <v xml:space="preserve">% MCR at </v>
      </c>
      <c r="B126" s="196"/>
      <c r="C126" s="193"/>
      <c r="D126" s="193"/>
      <c r="E126" s="193"/>
      <c r="F126" s="193"/>
      <c r="G126" s="193"/>
      <c r="H126" s="123"/>
      <c r="I126" s="123"/>
      <c r="J126" s="123"/>
      <c r="K126" s="123"/>
      <c r="L126" s="1"/>
      <c r="Q126" s="1"/>
      <c r="R126" s="1"/>
      <c r="S126" s="1"/>
      <c r="T126" s="1"/>
      <c r="U126" s="1"/>
      <c r="V126" s="1"/>
      <c r="W126" s="1"/>
      <c r="X126" s="1"/>
      <c r="Y126" s="1"/>
      <c r="Z126" s="1"/>
      <c r="AA126" s="1"/>
      <c r="AB126" s="1"/>
      <c r="AC126" s="1"/>
      <c r="AD126" s="1"/>
    </row>
    <row r="127" spans="1:30" s="2" customFormat="1" x14ac:dyDescent="0.2">
      <c r="A127" s="134" t="str">
        <f>"SFOC at "&amp;B126*100&amp; "% MCR"</f>
        <v>SFOC at 0% MCR</v>
      </c>
      <c r="B127" s="194"/>
      <c r="C127" s="195"/>
      <c r="D127" s="195"/>
      <c r="E127" s="195"/>
      <c r="F127" s="195"/>
      <c r="G127" s="195"/>
      <c r="H127" s="123"/>
      <c r="I127" s="123"/>
      <c r="J127" s="123"/>
      <c r="K127" s="123"/>
      <c r="L127" s="1"/>
      <c r="Q127" s="1"/>
      <c r="R127" s="1"/>
      <c r="S127" s="1"/>
      <c r="T127" s="1"/>
      <c r="U127" s="1"/>
      <c r="V127" s="1"/>
      <c r="W127" s="1"/>
      <c r="X127" s="1"/>
      <c r="Y127" s="1"/>
      <c r="Z127" s="1"/>
      <c r="AA127" s="1"/>
      <c r="AB127" s="1"/>
      <c r="AC127" s="1"/>
      <c r="AD127" s="1"/>
    </row>
    <row r="128" spans="1:30" s="2" customFormat="1" x14ac:dyDescent="0.2">
      <c r="A128" s="137" t="str">
        <f>"Number of units used at "&amp;$B$29</f>
        <v xml:space="preserve">Number of units used at </v>
      </c>
      <c r="B128" s="191"/>
      <c r="C128" s="192"/>
      <c r="D128" s="192"/>
      <c r="E128" s="192"/>
      <c r="F128" s="192"/>
      <c r="G128" s="192"/>
      <c r="H128" s="123"/>
      <c r="I128" s="123"/>
      <c r="J128" s="123"/>
      <c r="K128" s="123"/>
      <c r="L128" s="1"/>
      <c r="Q128" s="1"/>
      <c r="R128" s="1"/>
      <c r="S128" s="1"/>
      <c r="T128" s="1"/>
      <c r="U128" s="1"/>
      <c r="V128" s="1"/>
      <c r="W128" s="1"/>
      <c r="X128" s="1"/>
      <c r="Y128" s="1"/>
      <c r="Z128" s="1"/>
      <c r="AA128" s="1"/>
      <c r="AB128" s="1"/>
      <c r="AC128" s="1"/>
      <c r="AD128" s="1"/>
    </row>
    <row r="129" spans="1:30" s="2" customFormat="1" x14ac:dyDescent="0.2">
      <c r="A129" s="137" t="str">
        <f>"% MCR at "&amp;$B$29</f>
        <v xml:space="preserve">% MCR at </v>
      </c>
      <c r="B129" s="196"/>
      <c r="C129" s="193"/>
      <c r="D129" s="193"/>
      <c r="E129" s="193"/>
      <c r="F129" s="193"/>
      <c r="G129" s="193"/>
      <c r="H129" s="123"/>
      <c r="I129" s="123"/>
      <c r="J129" s="123"/>
      <c r="K129" s="123"/>
      <c r="L129" s="1"/>
      <c r="Q129" s="1"/>
      <c r="R129" s="1"/>
      <c r="S129" s="1"/>
      <c r="T129" s="1"/>
      <c r="U129" s="1"/>
      <c r="V129" s="1"/>
      <c r="W129" s="1"/>
      <c r="X129" s="1"/>
      <c r="Y129" s="1"/>
      <c r="Z129" s="1"/>
      <c r="AA129" s="1"/>
      <c r="AB129" s="1"/>
      <c r="AC129" s="1"/>
      <c r="AD129" s="1"/>
    </row>
    <row r="130" spans="1:30" s="2" customFormat="1" x14ac:dyDescent="0.2">
      <c r="A130" s="134" t="str">
        <f>"SFOC at "&amp;B129*100&amp; "% MCR"</f>
        <v>SFOC at 0% MCR</v>
      </c>
      <c r="B130" s="194"/>
      <c r="C130" s="195"/>
      <c r="D130" s="195"/>
      <c r="E130" s="195"/>
      <c r="F130" s="195"/>
      <c r="G130" s="195"/>
      <c r="H130" s="123"/>
      <c r="I130" s="123"/>
      <c r="J130" s="123"/>
      <c r="K130" s="123"/>
      <c r="L130" s="1"/>
      <c r="Q130" s="1"/>
      <c r="R130" s="1"/>
      <c r="S130" s="1"/>
      <c r="T130" s="1"/>
      <c r="U130" s="1"/>
      <c r="V130" s="1"/>
      <c r="W130" s="1"/>
      <c r="X130" s="1"/>
      <c r="Y130" s="1"/>
      <c r="Z130" s="1"/>
      <c r="AA130" s="1"/>
      <c r="AB130" s="1"/>
      <c r="AC130" s="1"/>
      <c r="AD130" s="1"/>
    </row>
    <row r="131" spans="1:30" s="2" customFormat="1" x14ac:dyDescent="0.2">
      <c r="A131" s="137" t="str">
        <f>"Number of units used at "&amp;$B$30</f>
        <v xml:space="preserve">Number of units used at </v>
      </c>
      <c r="B131" s="191"/>
      <c r="C131" s="192"/>
      <c r="D131" s="192"/>
      <c r="E131" s="192"/>
      <c r="F131" s="192"/>
      <c r="G131" s="192"/>
      <c r="H131" s="123"/>
      <c r="I131" s="123"/>
      <c r="J131" s="123"/>
      <c r="K131" s="123"/>
      <c r="L131" s="1"/>
      <c r="Q131" s="1"/>
      <c r="R131" s="1"/>
      <c r="S131" s="1"/>
      <c r="T131" s="1"/>
      <c r="U131" s="1"/>
      <c r="V131" s="1"/>
      <c r="W131" s="1"/>
      <c r="X131" s="1"/>
      <c r="Y131" s="1"/>
      <c r="Z131" s="1"/>
      <c r="AA131" s="1"/>
      <c r="AB131" s="1"/>
      <c r="AC131" s="1"/>
      <c r="AD131" s="1"/>
    </row>
    <row r="132" spans="1:30" s="2" customFormat="1" x14ac:dyDescent="0.2">
      <c r="A132" s="137" t="str">
        <f>"% MCR at "&amp;$B$30</f>
        <v xml:space="preserve">% MCR at </v>
      </c>
      <c r="B132" s="196"/>
      <c r="C132" s="193"/>
      <c r="D132" s="193"/>
      <c r="E132" s="193"/>
      <c r="F132" s="193"/>
      <c r="G132" s="193"/>
      <c r="H132" s="123"/>
      <c r="I132" s="123"/>
      <c r="J132" s="123"/>
      <c r="K132" s="123"/>
      <c r="L132" s="1"/>
      <c r="Q132" s="1"/>
      <c r="R132" s="1"/>
      <c r="S132" s="1"/>
      <c r="T132" s="1"/>
      <c r="U132" s="1"/>
      <c r="V132" s="1"/>
      <c r="W132" s="1"/>
      <c r="X132" s="1"/>
      <c r="Y132" s="1"/>
      <c r="Z132" s="1"/>
      <c r="AA132" s="1"/>
      <c r="AB132" s="1"/>
      <c r="AC132" s="1"/>
      <c r="AD132" s="1"/>
    </row>
    <row r="133" spans="1:30" s="2" customFormat="1" x14ac:dyDescent="0.2">
      <c r="A133" s="134" t="str">
        <f>"SFOC at "&amp;B132*100&amp; "% MCR"</f>
        <v>SFOC at 0% MCR</v>
      </c>
      <c r="B133" s="194"/>
      <c r="C133" s="195"/>
      <c r="D133" s="195"/>
      <c r="E133" s="195"/>
      <c r="F133" s="195"/>
      <c r="G133" s="195"/>
      <c r="H133" s="123"/>
      <c r="I133" s="123"/>
      <c r="J133" s="123"/>
      <c r="K133" s="123"/>
      <c r="L133" s="1"/>
      <c r="Q133" s="1"/>
      <c r="R133" s="1"/>
      <c r="S133" s="1"/>
      <c r="T133" s="1"/>
      <c r="U133" s="1"/>
      <c r="V133" s="1"/>
      <c r="W133" s="1"/>
      <c r="X133" s="1"/>
      <c r="Y133" s="1"/>
      <c r="Z133" s="1"/>
      <c r="AA133" s="1"/>
      <c r="AB133" s="1"/>
      <c r="AC133" s="1"/>
      <c r="AD133" s="1"/>
    </row>
    <row r="134" spans="1:30" s="2" customFormat="1" x14ac:dyDescent="0.2">
      <c r="A134" s="137" t="str">
        <f>"Number of units used at "&amp;$B$31</f>
        <v xml:space="preserve">Number of units used at </v>
      </c>
      <c r="B134" s="191"/>
      <c r="C134" s="192"/>
      <c r="D134" s="192"/>
      <c r="E134" s="192"/>
      <c r="F134" s="192"/>
      <c r="G134" s="192"/>
      <c r="H134" s="123"/>
      <c r="I134" s="123"/>
      <c r="J134" s="123"/>
      <c r="K134" s="123"/>
      <c r="L134" s="1"/>
      <c r="Q134" s="1"/>
      <c r="R134" s="1"/>
      <c r="S134" s="1"/>
      <c r="T134" s="1"/>
      <c r="U134" s="1"/>
      <c r="V134" s="1"/>
      <c r="W134" s="1"/>
      <c r="X134" s="1"/>
      <c r="Y134" s="1"/>
      <c r="Z134" s="1"/>
      <c r="AA134" s="1"/>
      <c r="AB134" s="1"/>
      <c r="AC134" s="1"/>
      <c r="AD134" s="1"/>
    </row>
    <row r="135" spans="1:30" s="2" customFormat="1" x14ac:dyDescent="0.2">
      <c r="A135" s="137" t="str">
        <f>"% MCR at "&amp;$B$31</f>
        <v xml:space="preserve">% MCR at </v>
      </c>
      <c r="B135" s="196"/>
      <c r="C135" s="193"/>
      <c r="D135" s="193"/>
      <c r="E135" s="193"/>
      <c r="F135" s="193"/>
      <c r="G135" s="193"/>
      <c r="H135" s="123"/>
      <c r="I135" s="123"/>
      <c r="J135" s="123"/>
      <c r="K135" s="123"/>
      <c r="L135" s="1"/>
      <c r="Q135" s="1"/>
      <c r="R135" s="1"/>
      <c r="S135" s="1"/>
      <c r="T135" s="1"/>
      <c r="U135" s="1"/>
      <c r="V135" s="1"/>
      <c r="W135" s="1"/>
      <c r="X135" s="1"/>
      <c r="Y135" s="1"/>
      <c r="Z135" s="1"/>
      <c r="AA135" s="1"/>
      <c r="AB135" s="1"/>
      <c r="AC135" s="1"/>
      <c r="AD135" s="1"/>
    </row>
    <row r="136" spans="1:30" s="2" customFormat="1" x14ac:dyDescent="0.2">
      <c r="A136" s="134" t="str">
        <f>"SFOC at "&amp;B135*100&amp; "% MCR"</f>
        <v>SFOC at 0% MCR</v>
      </c>
      <c r="B136" s="194"/>
      <c r="C136" s="195"/>
      <c r="D136" s="195"/>
      <c r="E136" s="195"/>
      <c r="F136" s="195"/>
      <c r="G136" s="195"/>
      <c r="H136" s="123"/>
      <c r="I136" s="123"/>
      <c r="J136" s="123"/>
      <c r="K136" s="123"/>
      <c r="L136" s="1"/>
      <c r="P136" s="1"/>
      <c r="Q136" s="1"/>
      <c r="R136" s="1"/>
      <c r="S136" s="1"/>
      <c r="T136" s="1"/>
      <c r="U136" s="1"/>
      <c r="V136" s="1"/>
      <c r="W136" s="1"/>
      <c r="X136" s="1"/>
      <c r="Y136" s="1"/>
      <c r="Z136" s="1"/>
      <c r="AA136" s="1"/>
      <c r="AB136" s="1"/>
      <c r="AC136" s="1"/>
      <c r="AD136" s="1"/>
    </row>
    <row r="137" spans="1:30" s="2" customFormat="1" hidden="1" x14ac:dyDescent="0.2">
      <c r="A137" s="134" t="s">
        <v>209</v>
      </c>
      <c r="B137" s="148">
        <f t="shared" ref="B137:G137" si="15">MAX(B124,B127,B130,B133,B136)</f>
        <v>0</v>
      </c>
      <c r="C137" s="148">
        <f t="shared" si="15"/>
        <v>0</v>
      </c>
      <c r="D137" s="148">
        <f t="shared" si="15"/>
        <v>0</v>
      </c>
      <c r="E137" s="148">
        <f t="shared" si="15"/>
        <v>0</v>
      </c>
      <c r="F137" s="148">
        <f t="shared" si="15"/>
        <v>0</v>
      </c>
      <c r="G137" s="148">
        <f t="shared" si="15"/>
        <v>0</v>
      </c>
      <c r="H137" s="123"/>
      <c r="I137" s="123"/>
      <c r="J137" s="123"/>
      <c r="K137" s="123"/>
      <c r="L137" s="1"/>
      <c r="P137" s="1"/>
      <c r="Q137" s="1"/>
      <c r="R137" s="1"/>
      <c r="S137" s="1"/>
      <c r="T137" s="1"/>
      <c r="U137" s="1"/>
      <c r="V137" s="1"/>
      <c r="W137" s="1"/>
      <c r="X137" s="1"/>
      <c r="Y137" s="1"/>
      <c r="Z137" s="1"/>
      <c r="AA137" s="1"/>
      <c r="AB137" s="1"/>
      <c r="AC137" s="1"/>
      <c r="AD137" s="1"/>
    </row>
    <row r="138" spans="1:30" s="2" customFormat="1" ht="25.5" customHeight="1" x14ac:dyDescent="0.2">
      <c r="A138" s="149" t="str">
        <f>"Annual "&amp;B116&amp;" "&amp;B120&amp;" [t/year]"</f>
        <v>Annual   [t/year]</v>
      </c>
      <c r="B138" s="150">
        <f t="shared" ref="B138:G138" si="16">24*365*B$118/(10^6)*(B$35*B$122*B$123*B$124+B$39*B$125*B$126*B$127+B$43*B$128*B$129*B$130+B$47*B$131*B$132*B$133+B$51*B$134*B$135*B$136)</f>
        <v>0</v>
      </c>
      <c r="C138" s="150">
        <f t="shared" si="16"/>
        <v>0</v>
      </c>
      <c r="D138" s="150">
        <f t="shared" si="16"/>
        <v>0</v>
      </c>
      <c r="E138" s="150">
        <f t="shared" si="16"/>
        <v>0</v>
      </c>
      <c r="F138" s="150">
        <f t="shared" si="16"/>
        <v>0</v>
      </c>
      <c r="G138" s="150">
        <f t="shared" si="16"/>
        <v>0</v>
      </c>
      <c r="H138" s="123"/>
      <c r="I138" s="123"/>
      <c r="J138" s="123"/>
      <c r="K138" s="123"/>
      <c r="L138" s="1"/>
      <c r="P138" s="1"/>
      <c r="Q138" s="1"/>
      <c r="R138" s="1"/>
      <c r="S138" s="1"/>
      <c r="T138" s="1"/>
      <c r="U138" s="1"/>
      <c r="V138" s="1"/>
      <c r="W138" s="1"/>
      <c r="X138" s="1"/>
      <c r="Y138" s="1"/>
      <c r="Z138" s="1"/>
      <c r="AA138" s="1"/>
      <c r="AB138" s="1"/>
      <c r="AC138" s="1"/>
      <c r="AD138" s="1"/>
    </row>
    <row r="139" spans="1:30" s="2" customFormat="1" x14ac:dyDescent="0.2">
      <c r="A139" s="121"/>
      <c r="B139" s="129"/>
      <c r="C139" s="129"/>
      <c r="D139" s="129"/>
      <c r="E139" s="129"/>
      <c r="F139" s="129"/>
      <c r="G139" s="129"/>
      <c r="H139" s="123"/>
      <c r="I139" s="123"/>
      <c r="J139" s="123"/>
      <c r="K139" s="123"/>
      <c r="L139" s="1"/>
      <c r="M139" s="1"/>
      <c r="N139" s="1"/>
      <c r="O139" s="1"/>
      <c r="P139" s="1"/>
      <c r="Q139" s="1"/>
      <c r="R139" s="1"/>
      <c r="S139" s="1"/>
      <c r="T139" s="1"/>
      <c r="U139" s="1"/>
      <c r="V139" s="1"/>
      <c r="W139" s="1"/>
      <c r="X139" s="1"/>
      <c r="Y139" s="1"/>
      <c r="Z139" s="1"/>
      <c r="AA139" s="1"/>
      <c r="AB139" s="1"/>
      <c r="AC139" s="1"/>
      <c r="AD139" s="1"/>
    </row>
    <row r="140" spans="1:30" s="2" customFormat="1" x14ac:dyDescent="0.2">
      <c r="A140" s="121" t="s">
        <v>72</v>
      </c>
      <c r="B140" s="129" t="str">
        <f>IF(ship1="","",ship1)</f>
        <v/>
      </c>
      <c r="C140" s="129" t="str">
        <f>IF(ship2="","",ship2)</f>
        <v/>
      </c>
      <c r="D140" s="129" t="str">
        <f>IF(ship3="","",ship3)</f>
        <v/>
      </c>
      <c r="E140" s="129" t="str">
        <f>IF(ship4="","",ship4)</f>
        <v/>
      </c>
      <c r="F140" s="129" t="str">
        <f>IF(ship5="","",ship5)</f>
        <v/>
      </c>
      <c r="G140" s="129" t="str">
        <f>IF(ship6="","",ship6)</f>
        <v/>
      </c>
      <c r="H140" s="123"/>
      <c r="I140" s="123"/>
      <c r="J140" s="123"/>
      <c r="K140" s="123"/>
      <c r="L140" s="1"/>
      <c r="M140" s="1"/>
      <c r="N140" s="1"/>
      <c r="O140" s="1"/>
      <c r="P140" s="1"/>
      <c r="Q140" s="1"/>
      <c r="R140" s="1"/>
      <c r="S140" s="1"/>
      <c r="T140" s="1"/>
      <c r="U140" s="1"/>
      <c r="V140" s="1"/>
      <c r="W140" s="1"/>
      <c r="X140" s="1"/>
      <c r="Y140" s="1"/>
      <c r="Z140" s="1"/>
      <c r="AA140" s="1"/>
      <c r="AB140" s="1"/>
      <c r="AC140" s="1"/>
      <c r="AD140" s="1"/>
    </row>
    <row r="141" spans="1:30" s="2" customFormat="1" hidden="1" x14ac:dyDescent="0.2">
      <c r="A141" s="137" t="s">
        <v>74</v>
      </c>
      <c r="B141" s="129">
        <f t="shared" ref="B141:G141" si="17">B149/(250*365*24*(10^-6))</f>
        <v>0</v>
      </c>
      <c r="C141" s="129">
        <f t="shared" si="17"/>
        <v>0</v>
      </c>
      <c r="D141" s="129">
        <f t="shared" si="17"/>
        <v>0</v>
      </c>
      <c r="E141" s="129">
        <f t="shared" si="17"/>
        <v>0</v>
      </c>
      <c r="F141" s="129">
        <f t="shared" si="17"/>
        <v>0</v>
      </c>
      <c r="G141" s="129">
        <f t="shared" si="17"/>
        <v>0</v>
      </c>
      <c r="H141" s="123"/>
      <c r="I141" s="123"/>
      <c r="J141" s="123"/>
      <c r="K141" s="123"/>
      <c r="L141" s="1"/>
      <c r="M141" s="1"/>
      <c r="N141" s="1"/>
      <c r="O141" s="1"/>
      <c r="P141" s="1"/>
      <c r="Q141" s="1"/>
      <c r="R141" s="1"/>
      <c r="S141" s="1"/>
      <c r="T141" s="1"/>
      <c r="U141" s="1"/>
      <c r="V141" s="1"/>
      <c r="W141" s="1"/>
      <c r="X141" s="1"/>
      <c r="Y141" s="1"/>
      <c r="Z141" s="1"/>
      <c r="AA141" s="1"/>
      <c r="AB141" s="1"/>
      <c r="AC141" s="1"/>
      <c r="AD141" s="1"/>
    </row>
    <row r="142" spans="1:30" s="2" customFormat="1" x14ac:dyDescent="0.2">
      <c r="A142" s="137" t="s">
        <v>13</v>
      </c>
      <c r="B142" s="189"/>
      <c r="C142" s="190"/>
      <c r="D142" s="190"/>
      <c r="E142" s="190"/>
      <c r="F142" s="190"/>
      <c r="G142" s="190"/>
      <c r="H142" s="123"/>
      <c r="I142" s="123"/>
      <c r="J142" s="123"/>
      <c r="K142" s="123"/>
      <c r="L142" s="1"/>
      <c r="M142" s="1"/>
      <c r="N142" s="1"/>
      <c r="O142" s="1"/>
      <c r="P142" s="1"/>
      <c r="Q142" s="1"/>
      <c r="R142" s="1"/>
      <c r="S142" s="1"/>
      <c r="T142" s="1"/>
      <c r="U142" s="1"/>
      <c r="V142" s="1"/>
      <c r="W142" s="1"/>
      <c r="X142" s="1"/>
      <c r="Y142" s="1"/>
      <c r="Z142" s="1"/>
      <c r="AA142" s="1"/>
      <c r="AB142" s="1"/>
      <c r="AC142" s="1"/>
      <c r="AD142" s="1"/>
    </row>
    <row r="143" spans="1:30" s="2" customFormat="1" x14ac:dyDescent="0.2">
      <c r="A143" s="137" t="s">
        <v>231</v>
      </c>
      <c r="B143" s="189"/>
      <c r="C143" s="190"/>
      <c r="D143" s="190"/>
      <c r="E143" s="190"/>
      <c r="F143" s="190"/>
      <c r="G143" s="190"/>
      <c r="H143" s="123"/>
      <c r="I143" s="123"/>
      <c r="J143" s="123"/>
      <c r="K143" s="123"/>
      <c r="L143" s="1"/>
      <c r="M143" s="1"/>
      <c r="N143" s="1"/>
      <c r="O143" s="1"/>
      <c r="P143" s="1"/>
      <c r="Q143" s="1"/>
      <c r="R143" s="1"/>
      <c r="S143" s="1"/>
      <c r="T143" s="1"/>
      <c r="U143" s="1"/>
      <c r="V143" s="1"/>
      <c r="W143" s="1"/>
      <c r="X143" s="1"/>
      <c r="Y143" s="1"/>
      <c r="Z143" s="1"/>
      <c r="AA143" s="1"/>
      <c r="AB143" s="1"/>
      <c r="AC143" s="1"/>
      <c r="AD143" s="1"/>
    </row>
    <row r="144" spans="1:30" s="2" customFormat="1" x14ac:dyDescent="0.2">
      <c r="A144" s="137" t="str">
        <f>"% time at "&amp;$B$27</f>
        <v xml:space="preserve">% time at </v>
      </c>
      <c r="B144" s="181"/>
      <c r="C144" s="181"/>
      <c r="D144" s="182"/>
      <c r="E144" s="182"/>
      <c r="F144" s="182"/>
      <c r="G144" s="182"/>
      <c r="H144" s="123"/>
      <c r="I144" s="123"/>
      <c r="J144" s="123"/>
      <c r="K144" s="123"/>
      <c r="L144" s="1"/>
      <c r="M144" s="1"/>
      <c r="N144" s="1"/>
      <c r="O144" s="1"/>
      <c r="P144" s="1"/>
      <c r="Q144" s="1"/>
      <c r="R144" s="1"/>
      <c r="S144" s="1"/>
      <c r="T144" s="1"/>
      <c r="U144" s="1"/>
      <c r="V144" s="1"/>
      <c r="W144" s="1"/>
      <c r="X144" s="1"/>
      <c r="Y144" s="1"/>
      <c r="Z144" s="1"/>
      <c r="AA144" s="1"/>
      <c r="AB144" s="1"/>
      <c r="AC144" s="1"/>
      <c r="AD144" s="1"/>
    </row>
    <row r="145" spans="1:30" s="2" customFormat="1" x14ac:dyDescent="0.2">
      <c r="A145" s="137" t="str">
        <f>"% time at "&amp;$B$28</f>
        <v xml:space="preserve">% time at </v>
      </c>
      <c r="B145" s="181"/>
      <c r="C145" s="181"/>
      <c r="D145" s="182"/>
      <c r="E145" s="182"/>
      <c r="F145" s="182"/>
      <c r="G145" s="182"/>
      <c r="H145" s="123"/>
      <c r="I145" s="123"/>
      <c r="J145" s="123"/>
      <c r="K145" s="123"/>
      <c r="L145" s="1"/>
      <c r="M145" s="1"/>
      <c r="N145" s="1"/>
      <c r="O145" s="1"/>
      <c r="P145" s="1"/>
      <c r="Q145" s="1"/>
      <c r="R145" s="1"/>
      <c r="S145" s="1"/>
      <c r="T145" s="1"/>
      <c r="U145" s="1"/>
      <c r="V145" s="1"/>
      <c r="W145" s="1"/>
      <c r="X145" s="1"/>
      <c r="Y145" s="1"/>
      <c r="Z145" s="1"/>
      <c r="AA145" s="1"/>
      <c r="AB145" s="1"/>
      <c r="AC145" s="1"/>
      <c r="AD145" s="1"/>
    </row>
    <row r="146" spans="1:30" s="2" customFormat="1" x14ac:dyDescent="0.2">
      <c r="A146" s="137" t="str">
        <f>"% time at "&amp;$B$29</f>
        <v xml:space="preserve">% time at </v>
      </c>
      <c r="B146" s="181"/>
      <c r="C146" s="181"/>
      <c r="D146" s="182"/>
      <c r="E146" s="182"/>
      <c r="F146" s="182"/>
      <c r="G146" s="182"/>
      <c r="H146" s="123"/>
      <c r="I146" s="123"/>
      <c r="J146" s="123"/>
      <c r="K146" s="123"/>
      <c r="L146" s="1"/>
      <c r="M146" s="1"/>
      <c r="N146" s="1"/>
      <c r="O146" s="1"/>
      <c r="P146" s="1"/>
      <c r="Q146" s="1"/>
      <c r="R146" s="1"/>
      <c r="S146" s="1"/>
      <c r="T146" s="1"/>
      <c r="U146" s="1"/>
      <c r="V146" s="1"/>
      <c r="W146" s="1"/>
      <c r="X146" s="1"/>
      <c r="Y146" s="1"/>
      <c r="Z146" s="1"/>
      <c r="AA146" s="1"/>
      <c r="AB146" s="1"/>
      <c r="AC146" s="1"/>
      <c r="AD146" s="1"/>
    </row>
    <row r="147" spans="1:30" s="2" customFormat="1" x14ac:dyDescent="0.2">
      <c r="A147" s="137" t="str">
        <f>"% time at "&amp;$B$30</f>
        <v xml:space="preserve">% time at </v>
      </c>
      <c r="B147" s="181"/>
      <c r="C147" s="181"/>
      <c r="D147" s="182"/>
      <c r="E147" s="182"/>
      <c r="F147" s="182"/>
      <c r="G147" s="182"/>
      <c r="H147" s="123"/>
      <c r="I147" s="123"/>
      <c r="J147" s="123"/>
      <c r="K147" s="123"/>
      <c r="L147" s="1"/>
      <c r="M147" s="1"/>
      <c r="N147" s="1"/>
      <c r="O147" s="1"/>
      <c r="P147" s="1"/>
      <c r="Q147" s="1"/>
      <c r="R147" s="1"/>
      <c r="S147" s="1"/>
      <c r="T147" s="1"/>
      <c r="U147" s="1"/>
      <c r="V147" s="1"/>
      <c r="W147" s="1"/>
      <c r="X147" s="1"/>
      <c r="Y147" s="1"/>
      <c r="Z147" s="1"/>
      <c r="AA147" s="1"/>
      <c r="AB147" s="1"/>
      <c r="AC147" s="1"/>
      <c r="AD147" s="1"/>
    </row>
    <row r="148" spans="1:30" s="2" customFormat="1" x14ac:dyDescent="0.2">
      <c r="A148" s="137" t="str">
        <f>"% time at "&amp;$B$31</f>
        <v xml:space="preserve">% time at </v>
      </c>
      <c r="B148" s="181"/>
      <c r="C148" s="181"/>
      <c r="D148" s="182"/>
      <c r="E148" s="182"/>
      <c r="F148" s="182"/>
      <c r="G148" s="182"/>
      <c r="H148" s="123"/>
      <c r="I148" s="123"/>
      <c r="J148" s="123"/>
      <c r="K148" s="123"/>
      <c r="L148" s="1"/>
      <c r="M148" s="1"/>
      <c r="N148" s="1"/>
      <c r="O148" s="1"/>
      <c r="P148" s="1"/>
      <c r="Q148" s="1"/>
      <c r="R148" s="1"/>
      <c r="S148" s="1"/>
      <c r="T148" s="1"/>
      <c r="U148" s="1"/>
      <c r="V148" s="1"/>
      <c r="W148" s="1"/>
      <c r="X148" s="1"/>
      <c r="Y148" s="1"/>
      <c r="Z148" s="1"/>
      <c r="AA148" s="1"/>
      <c r="AB148" s="1"/>
      <c r="AC148" s="1"/>
      <c r="AD148" s="1"/>
    </row>
    <row r="149" spans="1:30" s="2" customFormat="1" x14ac:dyDescent="0.2">
      <c r="A149" s="153" t="str">
        <f>"Annual boiler "&amp;B142&amp;" [t/year]"</f>
        <v>Annual boiler  [t/year]</v>
      </c>
      <c r="B149" s="154">
        <f t="shared" ref="B149:G149" si="18">24*365*B$143*(B$35*B$144+B$39*B$145+B$43*B$146+B$47*B$147+B$51*B$148)</f>
        <v>0</v>
      </c>
      <c r="C149" s="154">
        <f t="shared" si="18"/>
        <v>0</v>
      </c>
      <c r="D149" s="154">
        <f t="shared" si="18"/>
        <v>0</v>
      </c>
      <c r="E149" s="154">
        <f t="shared" si="18"/>
        <v>0</v>
      </c>
      <c r="F149" s="154">
        <f t="shared" si="18"/>
        <v>0</v>
      </c>
      <c r="G149" s="154">
        <f t="shared" si="18"/>
        <v>0</v>
      </c>
      <c r="H149" s="123"/>
      <c r="I149" s="123"/>
      <c r="J149" s="123"/>
      <c r="K149" s="123"/>
      <c r="L149" s="1"/>
      <c r="M149" s="1"/>
      <c r="N149" s="1"/>
      <c r="O149" s="1"/>
      <c r="P149" s="1"/>
      <c r="Q149" s="1"/>
      <c r="R149" s="1"/>
      <c r="S149" s="1"/>
      <c r="T149" s="1"/>
      <c r="U149" s="1"/>
      <c r="V149" s="1"/>
      <c r="W149" s="1"/>
      <c r="X149" s="1"/>
      <c r="Y149" s="1"/>
      <c r="Z149" s="1"/>
      <c r="AA149" s="1"/>
      <c r="AB149" s="1"/>
      <c r="AC149" s="1"/>
      <c r="AD149" s="1"/>
    </row>
    <row r="150" spans="1:30" s="2" customFormat="1" x14ac:dyDescent="0.2">
      <c r="A150" s="121"/>
      <c r="B150" s="129"/>
      <c r="C150" s="129"/>
      <c r="D150" s="129"/>
      <c r="E150" s="129"/>
      <c r="F150" s="129"/>
      <c r="G150" s="129"/>
      <c r="H150" s="123"/>
      <c r="I150" s="123"/>
      <c r="J150" s="123"/>
      <c r="K150" s="123"/>
      <c r="L150" s="1"/>
      <c r="M150" s="1"/>
      <c r="N150" s="1"/>
      <c r="O150" s="1"/>
      <c r="P150" s="1"/>
      <c r="Q150" s="1"/>
      <c r="R150" s="1"/>
      <c r="S150" s="1"/>
      <c r="T150" s="1"/>
      <c r="U150" s="1"/>
      <c r="V150" s="1"/>
      <c r="W150" s="1"/>
      <c r="X150" s="1"/>
      <c r="Y150" s="1"/>
      <c r="Z150" s="1"/>
      <c r="AA150" s="1"/>
      <c r="AB150" s="1"/>
      <c r="AC150" s="1"/>
      <c r="AD150" s="1"/>
    </row>
    <row r="151" spans="1:30" s="2" customFormat="1" x14ac:dyDescent="0.2">
      <c r="A151" s="153" t="s">
        <v>193</v>
      </c>
      <c r="B151" s="129" t="str">
        <f>IF(ship1="","",ship1)</f>
        <v/>
      </c>
      <c r="C151" s="129" t="str">
        <f>IF(ship2="","",ship2)</f>
        <v/>
      </c>
      <c r="D151" s="129" t="str">
        <f>IF(ship3="","",ship3)</f>
        <v/>
      </c>
      <c r="E151" s="129" t="str">
        <f>IF(ship4="","",ship4)</f>
        <v/>
      </c>
      <c r="F151" s="129" t="str">
        <f>IF(ship5="","",ship5)</f>
        <v/>
      </c>
      <c r="G151" s="129" t="str">
        <f>IF(ship6="","",ship6)</f>
        <v/>
      </c>
      <c r="H151" s="123"/>
      <c r="I151" s="123"/>
      <c r="J151" s="123"/>
      <c r="K151" s="123"/>
      <c r="L151" s="1"/>
      <c r="M151" s="1"/>
      <c r="N151" s="1"/>
      <c r="O151" s="1"/>
      <c r="P151" s="1"/>
      <c r="Q151" s="1"/>
      <c r="R151" s="1"/>
      <c r="S151" s="1"/>
      <c r="T151" s="1"/>
      <c r="U151" s="1"/>
      <c r="V151" s="1"/>
      <c r="W151" s="1"/>
      <c r="X151" s="1"/>
      <c r="Y151" s="1"/>
      <c r="Z151" s="1"/>
      <c r="AA151" s="1"/>
      <c r="AB151" s="1"/>
      <c r="AC151" s="1"/>
      <c r="AD151" s="1"/>
    </row>
    <row r="152" spans="1:30" s="2" customFormat="1" x14ac:dyDescent="0.2">
      <c r="A152" s="121" t="str">
        <f>fuel_type1&amp; " [t/year]"</f>
        <v xml:space="preserve"> [t/year]</v>
      </c>
      <c r="B152" s="129">
        <f t="shared" ref="B152:G152" si="19">B$88*(B$70=fuel_type1)+B$113*(B$95=fuel_type1)+B$138*(B$120=fuel_type1)+B$149*(B$142=fuel_type1)</f>
        <v>0</v>
      </c>
      <c r="C152" s="129">
        <f t="shared" si="19"/>
        <v>0</v>
      </c>
      <c r="D152" s="129">
        <f t="shared" si="19"/>
        <v>0</v>
      </c>
      <c r="E152" s="129">
        <f t="shared" si="19"/>
        <v>0</v>
      </c>
      <c r="F152" s="129">
        <f t="shared" si="19"/>
        <v>0</v>
      </c>
      <c r="G152" s="129">
        <f t="shared" si="19"/>
        <v>0</v>
      </c>
      <c r="H152" s="123"/>
      <c r="I152" s="123"/>
      <c r="J152" s="123"/>
      <c r="K152" s="123"/>
      <c r="L152" s="1"/>
      <c r="M152" s="1"/>
      <c r="N152" s="1"/>
      <c r="O152" s="1"/>
      <c r="P152" s="1"/>
      <c r="Q152" s="1"/>
      <c r="R152" s="1"/>
      <c r="S152" s="1"/>
      <c r="T152" s="1"/>
      <c r="U152" s="1"/>
      <c r="V152" s="1"/>
      <c r="W152" s="1"/>
      <c r="X152" s="1"/>
      <c r="Y152" s="1"/>
      <c r="Z152" s="1"/>
      <c r="AA152" s="1"/>
      <c r="AB152" s="1"/>
      <c r="AC152" s="1"/>
      <c r="AD152" s="1"/>
    </row>
    <row r="153" spans="1:30" s="2" customFormat="1" x14ac:dyDescent="0.2">
      <c r="A153" s="121" t="str">
        <f>fuel_type2&amp; " [t/year]"</f>
        <v xml:space="preserve"> [t/year]</v>
      </c>
      <c r="B153" s="129">
        <f t="shared" ref="B153:G153" si="20">B$88*(B$70=fuel_type2)+B$113*(B$95=fuel_type2)+B$138*(B$120=fuel_type2)+B$149*(B$142=fuel_type2)</f>
        <v>0</v>
      </c>
      <c r="C153" s="129">
        <f t="shared" si="20"/>
        <v>0</v>
      </c>
      <c r="D153" s="129">
        <f t="shared" si="20"/>
        <v>0</v>
      </c>
      <c r="E153" s="129">
        <f t="shared" si="20"/>
        <v>0</v>
      </c>
      <c r="F153" s="129">
        <f t="shared" si="20"/>
        <v>0</v>
      </c>
      <c r="G153" s="129">
        <f t="shared" si="20"/>
        <v>0</v>
      </c>
      <c r="H153" s="123"/>
      <c r="I153" s="123"/>
      <c r="J153" s="123"/>
      <c r="K153" s="123"/>
      <c r="L153" s="1"/>
      <c r="M153" s="1"/>
      <c r="N153" s="1"/>
      <c r="O153" s="1"/>
      <c r="P153" s="1"/>
      <c r="Q153" s="1"/>
      <c r="R153" s="1"/>
      <c r="S153" s="1"/>
      <c r="T153" s="1"/>
      <c r="U153" s="1"/>
      <c r="V153" s="1"/>
      <c r="W153" s="1"/>
      <c r="X153" s="1"/>
      <c r="Y153" s="1"/>
      <c r="Z153" s="1"/>
      <c r="AA153" s="1"/>
      <c r="AB153" s="1"/>
      <c r="AC153" s="1"/>
      <c r="AD153" s="1"/>
    </row>
    <row r="154" spans="1:30" s="2" customFormat="1" x14ac:dyDescent="0.2">
      <c r="A154" s="121" t="str">
        <f>fuel_type3&amp; " [t/year]"</f>
        <v xml:space="preserve"> [t/year]</v>
      </c>
      <c r="B154" s="129">
        <f t="shared" ref="B154:G154" si="21">B$88*(B$70=fuel_type3)+B$113*(B$95=fuel_type3)+B$138*(B$120=fuel_type3)+B$149*(B$142=fuel_type3)</f>
        <v>0</v>
      </c>
      <c r="C154" s="129">
        <f t="shared" si="21"/>
        <v>0</v>
      </c>
      <c r="D154" s="129">
        <f t="shared" si="21"/>
        <v>0</v>
      </c>
      <c r="E154" s="129">
        <f t="shared" si="21"/>
        <v>0</v>
      </c>
      <c r="F154" s="129">
        <f t="shared" si="21"/>
        <v>0</v>
      </c>
      <c r="G154" s="129">
        <f t="shared" si="21"/>
        <v>0</v>
      </c>
      <c r="H154" s="123"/>
      <c r="I154" s="123"/>
      <c r="J154" s="123"/>
      <c r="K154" s="123"/>
      <c r="L154" s="1"/>
      <c r="M154" s="1"/>
      <c r="N154" s="1"/>
      <c r="O154" s="1"/>
      <c r="P154" s="1"/>
      <c r="Q154" s="1"/>
      <c r="R154" s="1"/>
      <c r="S154" s="1"/>
      <c r="T154" s="1"/>
      <c r="U154" s="1"/>
      <c r="V154" s="1"/>
      <c r="W154" s="1"/>
      <c r="X154" s="1"/>
      <c r="Y154" s="1"/>
      <c r="Z154" s="1"/>
      <c r="AA154" s="1"/>
      <c r="AB154" s="1"/>
      <c r="AC154" s="1"/>
      <c r="AD154" s="1"/>
    </row>
    <row r="155" spans="1:30" s="2" customFormat="1" x14ac:dyDescent="0.2">
      <c r="A155" s="121" t="str">
        <f>fuel_type4&amp; " [t/year]"</f>
        <v xml:space="preserve"> [t/year]</v>
      </c>
      <c r="B155" s="129">
        <f t="shared" ref="B155:G155" si="22">B$88*(B$70=fuel_type4)+B$113*(B$95=fuel_type4)+B$138*(B$120=fuel_type4)+B$149*(B$142=fuel_type4)</f>
        <v>0</v>
      </c>
      <c r="C155" s="129">
        <f t="shared" si="22"/>
        <v>0</v>
      </c>
      <c r="D155" s="129">
        <f t="shared" si="22"/>
        <v>0</v>
      </c>
      <c r="E155" s="129">
        <f t="shared" si="22"/>
        <v>0</v>
      </c>
      <c r="F155" s="129">
        <f t="shared" si="22"/>
        <v>0</v>
      </c>
      <c r="G155" s="129">
        <f t="shared" si="22"/>
        <v>0</v>
      </c>
      <c r="H155" s="123"/>
      <c r="I155" s="123"/>
      <c r="J155" s="123"/>
      <c r="K155" s="123"/>
      <c r="L155" s="1"/>
      <c r="M155" s="1"/>
      <c r="N155" s="1"/>
      <c r="O155" s="1"/>
      <c r="P155" s="1"/>
      <c r="Q155" s="1"/>
      <c r="R155" s="1"/>
      <c r="S155" s="1"/>
      <c r="T155" s="1"/>
      <c r="U155" s="1"/>
      <c r="V155" s="1"/>
      <c r="W155" s="1"/>
      <c r="X155" s="1"/>
      <c r="Y155" s="1"/>
      <c r="Z155" s="1"/>
      <c r="AA155" s="1"/>
      <c r="AB155" s="1"/>
      <c r="AC155" s="1"/>
      <c r="AD155" s="1"/>
    </row>
    <row r="156" spans="1:30" s="2" customFormat="1" x14ac:dyDescent="0.2">
      <c r="A156" s="121"/>
      <c r="B156" s="129"/>
      <c r="C156" s="129"/>
      <c r="D156" s="129"/>
      <c r="E156" s="129"/>
      <c r="F156" s="129"/>
      <c r="G156" s="129"/>
      <c r="H156" s="123"/>
      <c r="I156" s="123"/>
      <c r="J156" s="123"/>
      <c r="K156" s="123"/>
      <c r="L156" s="1"/>
      <c r="M156" s="1"/>
      <c r="N156" s="1"/>
      <c r="O156" s="1"/>
      <c r="P156" s="1"/>
      <c r="Q156" s="1"/>
      <c r="R156" s="1"/>
      <c r="S156" s="1"/>
      <c r="T156" s="1"/>
      <c r="U156" s="1"/>
      <c r="V156" s="1"/>
      <c r="W156" s="1"/>
      <c r="X156" s="1"/>
      <c r="Y156" s="1"/>
      <c r="Z156" s="1"/>
      <c r="AA156" s="1"/>
      <c r="AB156" s="1"/>
      <c r="AC156" s="1"/>
      <c r="AD156" s="1"/>
    </row>
    <row r="157" spans="1:30" s="2" customFormat="1" x14ac:dyDescent="0.2">
      <c r="A157" s="153" t="s">
        <v>148</v>
      </c>
      <c r="B157" s="129"/>
      <c r="C157" s="129"/>
      <c r="D157" s="129"/>
      <c r="E157" s="129"/>
      <c r="F157" s="129"/>
      <c r="G157" s="129"/>
      <c r="H157" s="123"/>
      <c r="I157" s="123"/>
      <c r="J157" s="123"/>
      <c r="K157" s="123"/>
      <c r="L157" s="1"/>
      <c r="M157" s="1"/>
      <c r="N157" s="1"/>
      <c r="O157" s="1"/>
      <c r="P157" s="1"/>
      <c r="Q157" s="1"/>
      <c r="R157" s="1"/>
      <c r="S157" s="1"/>
      <c r="T157" s="1"/>
      <c r="U157" s="1"/>
      <c r="V157" s="1"/>
      <c r="W157" s="1"/>
      <c r="X157" s="1"/>
      <c r="Y157" s="1"/>
      <c r="Z157" s="1"/>
      <c r="AA157" s="1"/>
      <c r="AB157" s="1"/>
      <c r="AC157" s="1"/>
      <c r="AD157" s="1"/>
    </row>
    <row r="158" spans="1:30" s="2" customFormat="1" x14ac:dyDescent="0.2">
      <c r="A158" s="128" t="s">
        <v>180</v>
      </c>
      <c r="B158" s="129"/>
      <c r="C158" s="129"/>
      <c r="D158" s="129"/>
      <c r="E158" s="129"/>
      <c r="F158" s="129"/>
      <c r="G158" s="129"/>
      <c r="H158" s="123"/>
      <c r="I158" s="123"/>
      <c r="J158" s="123"/>
      <c r="K158" s="123"/>
      <c r="L158" s="1"/>
      <c r="M158" s="1"/>
      <c r="N158" s="1"/>
      <c r="O158" s="1"/>
      <c r="P158" s="1"/>
      <c r="Q158" s="1"/>
      <c r="R158" s="1"/>
      <c r="S158" s="1"/>
      <c r="T158" s="1"/>
      <c r="U158" s="1"/>
      <c r="V158" s="1"/>
      <c r="W158" s="1"/>
      <c r="X158" s="1"/>
      <c r="Y158" s="1"/>
      <c r="Z158" s="1"/>
      <c r="AA158" s="1"/>
      <c r="AB158" s="1"/>
      <c r="AC158" s="1"/>
      <c r="AD158" s="1"/>
    </row>
    <row r="159" spans="1:30" s="2" customFormat="1" x14ac:dyDescent="0.2">
      <c r="A159" s="128" t="s">
        <v>192</v>
      </c>
      <c r="B159" s="129"/>
      <c r="C159" s="129"/>
      <c r="D159" s="129"/>
      <c r="E159" s="129"/>
      <c r="F159" s="129"/>
      <c r="G159" s="129"/>
      <c r="H159" s="123"/>
      <c r="I159" s="123"/>
      <c r="J159" s="123"/>
      <c r="K159" s="123"/>
      <c r="L159" s="1"/>
      <c r="M159" s="1"/>
      <c r="N159" s="1"/>
      <c r="O159" s="1"/>
      <c r="P159" s="1"/>
      <c r="Q159" s="1"/>
      <c r="R159" s="1"/>
      <c r="S159" s="1"/>
      <c r="T159" s="1"/>
      <c r="U159" s="1"/>
      <c r="V159" s="1"/>
      <c r="W159" s="1"/>
      <c r="X159" s="1"/>
      <c r="Y159" s="1"/>
      <c r="Z159" s="1"/>
      <c r="AA159" s="1"/>
      <c r="AB159" s="1"/>
      <c r="AC159" s="1"/>
      <c r="AD159" s="1"/>
    </row>
    <row r="160" spans="1:30" s="2" customFormat="1" x14ac:dyDescent="0.2">
      <c r="A160" s="128" t="s">
        <v>195</v>
      </c>
      <c r="B160" s="129"/>
      <c r="C160" s="129"/>
      <c r="D160" s="129"/>
      <c r="E160" s="129"/>
      <c r="F160" s="129"/>
      <c r="G160" s="129"/>
      <c r="H160" s="123"/>
      <c r="I160" s="123"/>
      <c r="J160" s="123"/>
      <c r="K160" s="123"/>
      <c r="L160" s="1"/>
      <c r="M160" s="1"/>
      <c r="N160" s="1"/>
      <c r="O160" s="1"/>
      <c r="P160" s="1"/>
      <c r="Q160" s="1"/>
      <c r="R160" s="1"/>
      <c r="S160" s="1"/>
      <c r="T160" s="1"/>
      <c r="U160" s="1"/>
      <c r="V160" s="1"/>
      <c r="W160" s="1"/>
      <c r="X160" s="1"/>
      <c r="Y160" s="1"/>
      <c r="Z160" s="1"/>
      <c r="AA160" s="1"/>
      <c r="AB160" s="1"/>
      <c r="AC160" s="1"/>
      <c r="AD160" s="1"/>
    </row>
    <row r="161" spans="1:30" s="2" customFormat="1" x14ac:dyDescent="0.2">
      <c r="A161" s="128" t="s">
        <v>46</v>
      </c>
      <c r="B161" s="129"/>
      <c r="C161" s="129"/>
      <c r="D161" s="129"/>
      <c r="E161" s="129"/>
      <c r="F161" s="129"/>
      <c r="G161" s="129"/>
      <c r="H161" s="123"/>
      <c r="I161" s="123"/>
      <c r="J161" s="123"/>
      <c r="K161" s="123"/>
      <c r="L161" s="1"/>
      <c r="M161" s="1"/>
      <c r="N161" s="1"/>
      <c r="O161" s="1"/>
      <c r="P161" s="1"/>
      <c r="Q161" s="1"/>
      <c r="R161" s="1"/>
      <c r="S161" s="1"/>
      <c r="T161" s="1"/>
      <c r="U161" s="1"/>
      <c r="V161" s="1"/>
      <c r="W161" s="1"/>
      <c r="X161" s="1"/>
      <c r="Y161" s="1"/>
      <c r="Z161" s="1"/>
      <c r="AA161" s="1"/>
      <c r="AB161" s="1"/>
      <c r="AC161" s="1"/>
      <c r="AD161" s="1"/>
    </row>
    <row r="162" spans="1:30" s="2" customFormat="1" x14ac:dyDescent="0.2">
      <c r="A162" s="128" t="s">
        <v>153</v>
      </c>
      <c r="B162" s="129"/>
      <c r="C162" s="129"/>
      <c r="D162" s="129"/>
      <c r="E162" s="129"/>
      <c r="F162" s="129"/>
      <c r="G162" s="129"/>
      <c r="H162" s="123"/>
      <c r="I162" s="123"/>
      <c r="J162" s="123"/>
      <c r="K162" s="123"/>
      <c r="L162" s="1"/>
      <c r="M162" s="1"/>
      <c r="N162" s="1"/>
      <c r="O162" s="1"/>
      <c r="P162" s="1"/>
      <c r="Q162" s="1"/>
      <c r="R162" s="1"/>
      <c r="S162" s="1"/>
      <c r="T162" s="1"/>
      <c r="U162" s="1"/>
      <c r="V162" s="1"/>
      <c r="W162" s="1"/>
      <c r="X162" s="1"/>
      <c r="Y162" s="1"/>
      <c r="Z162" s="1"/>
      <c r="AA162" s="1"/>
      <c r="AB162" s="1"/>
      <c r="AC162" s="1"/>
      <c r="AD162" s="1"/>
    </row>
    <row r="163" spans="1:30" s="2" customFormat="1" x14ac:dyDescent="0.2">
      <c r="A163" s="128" t="s">
        <v>150</v>
      </c>
      <c r="B163" s="129"/>
      <c r="C163" s="129"/>
      <c r="D163" s="129"/>
      <c r="E163" s="129"/>
      <c r="F163" s="129"/>
      <c r="G163" s="129"/>
      <c r="H163" s="123"/>
      <c r="I163" s="123"/>
      <c r="J163" s="123"/>
      <c r="K163" s="123"/>
      <c r="L163" s="1"/>
      <c r="M163" s="1"/>
      <c r="N163" s="1"/>
      <c r="O163" s="1"/>
      <c r="P163" s="1"/>
      <c r="Q163" s="1"/>
      <c r="R163" s="1"/>
      <c r="S163" s="1"/>
      <c r="T163" s="1"/>
      <c r="U163" s="1"/>
      <c r="V163" s="1"/>
      <c r="W163" s="1"/>
      <c r="X163" s="1"/>
      <c r="Y163" s="1"/>
      <c r="Z163" s="1"/>
      <c r="AA163" s="1"/>
      <c r="AB163" s="1"/>
      <c r="AC163" s="1"/>
      <c r="AD163" s="1"/>
    </row>
    <row r="164" spans="1:30" s="2" customFormat="1" x14ac:dyDescent="0.2">
      <c r="A164" s="128" t="s">
        <v>151</v>
      </c>
      <c r="B164" s="129"/>
      <c r="C164" s="129"/>
      <c r="D164" s="129"/>
      <c r="E164" s="129"/>
      <c r="F164" s="129"/>
      <c r="G164" s="129"/>
      <c r="H164" s="123"/>
      <c r="I164" s="123"/>
      <c r="J164" s="123"/>
      <c r="K164" s="123"/>
      <c r="L164" s="1"/>
      <c r="M164" s="1"/>
      <c r="N164" s="1"/>
      <c r="O164" s="1"/>
      <c r="P164" s="1"/>
      <c r="Q164" s="1"/>
      <c r="R164" s="1"/>
      <c r="S164" s="1"/>
      <c r="T164" s="1"/>
      <c r="U164" s="1"/>
      <c r="V164" s="1"/>
      <c r="W164" s="1"/>
      <c r="X164" s="1"/>
      <c r="Y164" s="1"/>
      <c r="Z164" s="1"/>
      <c r="AA164" s="1"/>
      <c r="AB164" s="1"/>
      <c r="AC164" s="1"/>
      <c r="AD164" s="1"/>
    </row>
    <row r="165" spans="1:30" s="2" customFormat="1" x14ac:dyDescent="0.2">
      <c r="A165" s="128" t="s">
        <v>152</v>
      </c>
      <c r="B165" s="129"/>
      <c r="C165" s="129"/>
      <c r="D165" s="129"/>
      <c r="E165" s="129"/>
      <c r="F165" s="129"/>
      <c r="G165" s="129"/>
      <c r="H165" s="123"/>
      <c r="I165" s="123"/>
      <c r="J165" s="123"/>
      <c r="K165" s="123"/>
      <c r="L165" s="1"/>
      <c r="M165" s="1"/>
      <c r="N165" s="1"/>
      <c r="O165" s="1"/>
      <c r="P165" s="1"/>
      <c r="Q165" s="1"/>
      <c r="R165" s="1"/>
      <c r="S165" s="1"/>
      <c r="T165" s="1"/>
      <c r="U165" s="1"/>
      <c r="V165" s="1"/>
      <c r="W165" s="1"/>
      <c r="X165" s="1"/>
      <c r="Y165" s="1"/>
      <c r="Z165" s="1"/>
      <c r="AA165" s="1"/>
      <c r="AB165" s="1"/>
      <c r="AC165" s="1"/>
      <c r="AD165" s="1"/>
    </row>
    <row r="166" spans="1:30" s="2" customFormat="1" ht="13.5" customHeight="1" x14ac:dyDescent="0.2">
      <c r="A166" s="155"/>
      <c r="B166" s="121"/>
      <c r="C166" s="121"/>
      <c r="D166" s="122"/>
      <c r="E166" s="122"/>
      <c r="F166" s="122"/>
      <c r="G166" s="122"/>
      <c r="H166" s="123"/>
      <c r="I166" s="123"/>
      <c r="J166" s="123"/>
      <c r="K166" s="123"/>
      <c r="L166" s="1"/>
      <c r="M166" s="1"/>
      <c r="N166" s="1"/>
      <c r="O166" s="1"/>
      <c r="P166" s="1"/>
      <c r="Q166" s="1"/>
      <c r="R166" s="1"/>
      <c r="S166" s="1"/>
      <c r="T166" s="1"/>
      <c r="U166" s="1"/>
      <c r="V166" s="1"/>
      <c r="W166" s="1"/>
      <c r="X166" s="1"/>
      <c r="Y166" s="1"/>
      <c r="Z166" s="1"/>
      <c r="AA166" s="1"/>
      <c r="AB166" s="1"/>
      <c r="AC166" s="1"/>
      <c r="AD166" s="1"/>
    </row>
    <row r="167" spans="1:30" s="2" customFormat="1" ht="20.25" x14ac:dyDescent="0.3">
      <c r="A167" s="127" t="s">
        <v>195</v>
      </c>
      <c r="B167" s="121"/>
      <c r="C167" s="121"/>
      <c r="D167" s="122"/>
      <c r="E167" s="122"/>
      <c r="F167" s="122"/>
      <c r="G167" s="122"/>
      <c r="H167" s="123"/>
      <c r="I167" s="123"/>
      <c r="J167" s="123"/>
      <c r="K167" s="123"/>
      <c r="L167" s="1"/>
      <c r="M167" s="1"/>
      <c r="N167" s="1"/>
      <c r="O167" s="1"/>
      <c r="P167" s="1"/>
      <c r="Q167" s="1"/>
      <c r="R167" s="1"/>
      <c r="S167" s="1"/>
      <c r="T167" s="1"/>
      <c r="U167" s="1"/>
      <c r="V167" s="1"/>
      <c r="W167" s="1"/>
      <c r="X167" s="1"/>
      <c r="Y167" s="1"/>
      <c r="Z167" s="1"/>
      <c r="AA167" s="1"/>
      <c r="AB167" s="1"/>
      <c r="AC167" s="1"/>
      <c r="AD167" s="1"/>
    </row>
    <row r="168" spans="1:30" s="2" customFormat="1" x14ac:dyDescent="0.2">
      <c r="A168" s="134" t="s">
        <v>196</v>
      </c>
      <c r="B168" s="121"/>
      <c r="C168" s="121"/>
      <c r="D168" s="122"/>
      <c r="E168" s="122"/>
      <c r="F168" s="122"/>
      <c r="G168" s="122"/>
      <c r="H168" s="123"/>
      <c r="I168" s="123"/>
      <c r="J168" s="123"/>
      <c r="K168" s="123"/>
      <c r="L168" s="1"/>
      <c r="M168" s="1"/>
      <c r="N168" s="1"/>
      <c r="O168" s="1"/>
      <c r="P168" s="1"/>
      <c r="Q168" s="1"/>
      <c r="R168" s="1"/>
      <c r="S168" s="1"/>
      <c r="T168" s="1"/>
      <c r="U168" s="1"/>
      <c r="V168" s="1"/>
      <c r="W168" s="1"/>
      <c r="X168" s="1"/>
      <c r="Y168" s="1"/>
      <c r="Z168" s="1"/>
      <c r="AA168" s="1"/>
      <c r="AB168" s="1"/>
      <c r="AC168" s="1"/>
      <c r="AD168" s="1"/>
    </row>
    <row r="169" spans="1:30" s="2" customFormat="1" x14ac:dyDescent="0.2">
      <c r="A169" s="134"/>
      <c r="B169" s="121"/>
      <c r="C169" s="121"/>
      <c r="D169" s="122"/>
      <c r="E169" s="122"/>
      <c r="F169" s="122"/>
      <c r="G169" s="122"/>
      <c r="H169" s="123"/>
      <c r="I169" s="123"/>
      <c r="J169" s="123"/>
      <c r="K169" s="123"/>
      <c r="L169" s="1"/>
      <c r="M169" s="1"/>
      <c r="N169" s="1"/>
      <c r="O169" s="1"/>
      <c r="P169" s="1"/>
      <c r="Q169" s="1"/>
      <c r="R169" s="1"/>
      <c r="S169" s="1"/>
      <c r="T169" s="1"/>
      <c r="U169" s="1"/>
      <c r="V169" s="1"/>
      <c r="W169" s="1"/>
      <c r="X169" s="1"/>
      <c r="Y169" s="1"/>
      <c r="Z169" s="1"/>
      <c r="AA169" s="1"/>
      <c r="AB169" s="1"/>
      <c r="AC169" s="1"/>
      <c r="AD169" s="1"/>
    </row>
    <row r="170" spans="1:30" s="2" customFormat="1" x14ac:dyDescent="0.2">
      <c r="A170" s="121"/>
      <c r="B170" s="121"/>
      <c r="C170" s="129">
        <f>fuel_type1</f>
        <v>0</v>
      </c>
      <c r="D170" s="129">
        <f>fuel_type2</f>
        <v>0</v>
      </c>
      <c r="E170" s="129">
        <f>fuel_type3</f>
        <v>0</v>
      </c>
      <c r="F170" s="129">
        <f>fuel_type4</f>
        <v>0</v>
      </c>
      <c r="G170" s="122"/>
      <c r="H170" s="123"/>
      <c r="I170" s="123"/>
      <c r="J170" s="123"/>
      <c r="K170" s="123"/>
      <c r="L170" s="1"/>
      <c r="M170" s="1"/>
      <c r="N170" s="1"/>
      <c r="O170" s="1"/>
      <c r="P170" s="1"/>
      <c r="Q170" s="1"/>
      <c r="R170" s="1"/>
      <c r="S170" s="1"/>
      <c r="T170" s="1"/>
      <c r="U170" s="1"/>
      <c r="V170" s="1"/>
      <c r="W170" s="1"/>
      <c r="X170" s="1"/>
      <c r="Y170" s="1"/>
      <c r="Z170" s="1"/>
      <c r="AA170" s="1"/>
      <c r="AB170" s="1"/>
      <c r="AC170" s="1"/>
      <c r="AD170" s="1"/>
    </row>
    <row r="171" spans="1:30" s="2" customFormat="1" x14ac:dyDescent="0.2">
      <c r="A171" s="156" t="s">
        <v>235</v>
      </c>
      <c r="B171" s="156"/>
      <c r="C171" s="185"/>
      <c r="D171" s="185"/>
      <c r="E171" s="203"/>
      <c r="F171" s="203"/>
      <c r="G171" s="130"/>
      <c r="H171" s="130"/>
      <c r="I171" s="130"/>
      <c r="J171" s="130"/>
      <c r="K171" s="123"/>
      <c r="L171" s="1"/>
      <c r="M171" s="1"/>
      <c r="N171" s="1"/>
      <c r="O171" s="1"/>
      <c r="P171" s="1"/>
      <c r="Q171" s="1"/>
      <c r="R171" s="1"/>
      <c r="S171" s="1"/>
      <c r="T171" s="1"/>
      <c r="U171" s="1"/>
      <c r="V171" s="1"/>
      <c r="W171" s="1"/>
      <c r="X171" s="1"/>
      <c r="Y171" s="1"/>
      <c r="Z171" s="1"/>
      <c r="AA171" s="1"/>
      <c r="AB171" s="1"/>
      <c r="AC171" s="1"/>
      <c r="AD171" s="1"/>
    </row>
    <row r="172" spans="1:30" s="2" customFormat="1" x14ac:dyDescent="0.2">
      <c r="A172" s="156" t="s">
        <v>236</v>
      </c>
      <c r="B172" s="156"/>
      <c r="C172" s="186"/>
      <c r="D172" s="186"/>
      <c r="E172" s="203"/>
      <c r="F172" s="203"/>
      <c r="G172" s="130"/>
      <c r="H172" s="130"/>
      <c r="I172" s="130"/>
      <c r="J172" s="130"/>
      <c r="K172" s="123"/>
      <c r="L172" s="1"/>
      <c r="M172" s="1"/>
      <c r="N172" s="1"/>
      <c r="O172" s="1"/>
      <c r="P172" s="1"/>
      <c r="Q172" s="1"/>
      <c r="R172" s="1"/>
      <c r="S172" s="1"/>
      <c r="T172" s="1"/>
      <c r="U172" s="1"/>
      <c r="V172" s="1"/>
      <c r="W172" s="1"/>
      <c r="X172" s="1"/>
      <c r="Y172" s="1"/>
      <c r="Z172" s="1"/>
      <c r="AA172" s="1"/>
      <c r="AB172" s="1"/>
      <c r="AC172" s="1"/>
      <c r="AD172" s="1"/>
    </row>
    <row r="173" spans="1:30" s="2" customFormat="1" x14ac:dyDescent="0.2">
      <c r="A173" s="156" t="s">
        <v>237</v>
      </c>
      <c r="B173" s="156"/>
      <c r="C173" s="185"/>
      <c r="D173" s="185"/>
      <c r="E173" s="203"/>
      <c r="F173" s="203"/>
      <c r="G173" s="130"/>
      <c r="H173" s="130"/>
      <c r="I173" s="130"/>
      <c r="J173" s="130"/>
      <c r="K173" s="123"/>
      <c r="L173" s="1"/>
      <c r="M173" s="1"/>
      <c r="N173" s="1"/>
      <c r="O173" s="1"/>
      <c r="P173" s="1"/>
      <c r="Q173" s="1"/>
      <c r="R173" s="1"/>
      <c r="S173" s="1"/>
      <c r="T173" s="1"/>
      <c r="U173" s="1"/>
      <c r="V173" s="1"/>
      <c r="W173" s="1"/>
      <c r="X173" s="1"/>
      <c r="Y173" s="1"/>
      <c r="Z173" s="1"/>
      <c r="AA173" s="1"/>
      <c r="AB173" s="1"/>
      <c r="AC173" s="1"/>
      <c r="AD173" s="1"/>
    </row>
    <row r="174" spans="1:30" s="2" customFormat="1" x14ac:dyDescent="0.2">
      <c r="A174" s="121"/>
      <c r="B174" s="129"/>
      <c r="C174" s="129"/>
      <c r="D174" s="129"/>
      <c r="E174" s="129"/>
      <c r="F174" s="121"/>
      <c r="G174" s="130"/>
      <c r="H174" s="130"/>
      <c r="I174" s="130"/>
      <c r="J174" s="130"/>
      <c r="K174" s="123"/>
      <c r="L174" s="1"/>
      <c r="M174" s="1"/>
      <c r="N174" s="1"/>
      <c r="O174" s="1"/>
      <c r="P174" s="1"/>
      <c r="Q174" s="1"/>
      <c r="R174" s="1"/>
      <c r="S174" s="1"/>
      <c r="T174" s="1"/>
      <c r="U174" s="1"/>
      <c r="V174" s="1"/>
      <c r="W174" s="1"/>
      <c r="X174" s="1"/>
      <c r="Y174" s="1"/>
      <c r="Z174" s="1"/>
      <c r="AA174" s="1"/>
      <c r="AB174" s="1"/>
      <c r="AC174" s="1"/>
      <c r="AD174" s="1"/>
    </row>
    <row r="175" spans="1:30" s="2" customFormat="1" x14ac:dyDescent="0.2">
      <c r="A175" s="121"/>
      <c r="B175" s="121"/>
      <c r="C175" s="129">
        <f>fuel_type1</f>
        <v>0</v>
      </c>
      <c r="D175" s="129">
        <f>fuel_type2</f>
        <v>0</v>
      </c>
      <c r="E175" s="129">
        <f>fuel_type3</f>
        <v>0</v>
      </c>
      <c r="F175" s="129">
        <f>fuel_type4</f>
        <v>0</v>
      </c>
      <c r="G175" s="130"/>
      <c r="H175" s="130"/>
      <c r="I175" s="130"/>
      <c r="J175" s="130"/>
      <c r="K175" s="123"/>
      <c r="L175" s="1"/>
      <c r="M175" s="1"/>
      <c r="N175" s="1"/>
      <c r="O175" s="1"/>
      <c r="P175" s="1"/>
      <c r="Q175" s="1"/>
      <c r="R175" s="1"/>
      <c r="S175" s="1"/>
      <c r="T175" s="1"/>
      <c r="U175" s="1"/>
      <c r="V175" s="1"/>
      <c r="W175" s="1"/>
      <c r="X175" s="1"/>
      <c r="Y175" s="1"/>
      <c r="Z175" s="1"/>
      <c r="AA175" s="1"/>
      <c r="AB175" s="1"/>
      <c r="AC175" s="1"/>
      <c r="AD175" s="1"/>
    </row>
    <row r="176" spans="1:30" s="2" customFormat="1" x14ac:dyDescent="0.2">
      <c r="A176" s="121" t="s">
        <v>194</v>
      </c>
      <c r="B176" s="121"/>
      <c r="C176" s="199"/>
      <c r="D176" s="188"/>
      <c r="E176" s="199"/>
      <c r="F176" s="199"/>
      <c r="G176" s="130"/>
      <c r="H176" s="130"/>
      <c r="I176" s="130"/>
      <c r="J176" s="130"/>
      <c r="K176" s="123"/>
      <c r="L176" s="1"/>
      <c r="M176" s="1"/>
      <c r="N176" s="1"/>
      <c r="O176" s="1"/>
      <c r="P176" s="1"/>
      <c r="Q176" s="1"/>
      <c r="R176" s="1"/>
      <c r="S176" s="1"/>
      <c r="T176" s="1"/>
      <c r="U176" s="1"/>
      <c r="V176" s="1"/>
      <c r="W176" s="1"/>
      <c r="X176" s="1"/>
      <c r="Y176" s="1"/>
      <c r="Z176" s="1"/>
      <c r="AA176" s="1"/>
      <c r="AB176" s="1"/>
      <c r="AC176" s="1"/>
      <c r="AD176" s="1"/>
    </row>
    <row r="177" spans="1:30" s="2" customFormat="1" x14ac:dyDescent="0.2">
      <c r="A177" s="121"/>
      <c r="B177" s="121"/>
      <c r="C177" s="121"/>
      <c r="D177" s="121"/>
      <c r="E177" s="121"/>
      <c r="F177" s="121"/>
      <c r="G177" s="130"/>
      <c r="H177" s="130"/>
      <c r="I177" s="130"/>
      <c r="J177" s="130"/>
      <c r="K177" s="123"/>
      <c r="L177" s="1"/>
      <c r="M177" s="1"/>
      <c r="N177" s="1"/>
      <c r="O177" s="1"/>
      <c r="P177" s="1"/>
      <c r="Q177" s="1"/>
      <c r="R177" s="1"/>
      <c r="S177" s="1"/>
      <c r="T177" s="1"/>
      <c r="U177" s="1"/>
      <c r="V177" s="1"/>
      <c r="W177" s="1"/>
      <c r="X177" s="1"/>
      <c r="Y177" s="1"/>
      <c r="Z177" s="1"/>
      <c r="AA177" s="1"/>
      <c r="AB177" s="1"/>
      <c r="AC177" s="1"/>
      <c r="AD177" s="1"/>
    </row>
    <row r="178" spans="1:30" s="2" customFormat="1" x14ac:dyDescent="0.2">
      <c r="A178" s="121"/>
      <c r="B178" s="230" t="s">
        <v>238</v>
      </c>
      <c r="C178" s="230"/>
      <c r="D178" s="230"/>
      <c r="E178" s="230"/>
      <c r="F178" s="230"/>
      <c r="G178" s="230"/>
      <c r="H178" s="230"/>
      <c r="I178" s="230"/>
      <c r="J178" s="130"/>
      <c r="K178" s="123"/>
      <c r="L178" s="1"/>
      <c r="M178" s="1"/>
      <c r="N178" s="1"/>
      <c r="O178" s="1"/>
      <c r="P178" s="1"/>
      <c r="Q178" s="1"/>
      <c r="R178" s="1"/>
      <c r="S178" s="1"/>
      <c r="T178" s="1"/>
      <c r="U178" s="1"/>
      <c r="V178" s="1"/>
      <c r="W178" s="1"/>
      <c r="X178" s="1"/>
      <c r="Y178" s="1"/>
      <c r="Z178" s="1"/>
      <c r="AA178" s="1"/>
      <c r="AB178" s="1"/>
      <c r="AC178" s="1"/>
      <c r="AD178" s="1"/>
    </row>
    <row r="179" spans="1:30" s="2" customFormat="1" x14ac:dyDescent="0.2">
      <c r="A179" s="156"/>
      <c r="B179" s="157"/>
      <c r="C179" s="158">
        <f>fuel_type1</f>
        <v>0</v>
      </c>
      <c r="D179" s="159"/>
      <c r="E179" s="158">
        <f>fuel_type2</f>
        <v>0</v>
      </c>
      <c r="F179" s="159"/>
      <c r="G179" s="158">
        <f>fuel_type3</f>
        <v>0</v>
      </c>
      <c r="H179" s="159"/>
      <c r="I179" s="158">
        <f>fuel_type4</f>
        <v>0</v>
      </c>
      <c r="J179" s="123"/>
      <c r="K179" s="123"/>
      <c r="L179" s="1"/>
      <c r="M179" s="1"/>
      <c r="N179" s="1"/>
      <c r="O179" s="1"/>
      <c r="P179" s="1"/>
      <c r="Q179" s="1"/>
      <c r="R179" s="1"/>
      <c r="S179" s="1"/>
      <c r="T179" s="1"/>
      <c r="U179" s="1"/>
      <c r="V179" s="1"/>
      <c r="W179" s="1"/>
      <c r="X179" s="1"/>
      <c r="Y179" s="1"/>
      <c r="Z179" s="1"/>
      <c r="AA179" s="1"/>
      <c r="AB179" s="1"/>
      <c r="AC179" s="1"/>
      <c r="AD179" s="1"/>
    </row>
    <row r="180" spans="1:30" s="2" customFormat="1" x14ac:dyDescent="0.2">
      <c r="A180" s="156" t="s">
        <v>232</v>
      </c>
      <c r="B180" s="160">
        <f>$C$171</f>
        <v>0</v>
      </c>
      <c r="C180" s="204"/>
      <c r="D180" s="160">
        <f>$D$171</f>
        <v>0</v>
      </c>
      <c r="E180" s="205"/>
      <c r="F180" s="160">
        <f>$E$171</f>
        <v>0</v>
      </c>
      <c r="G180" s="204"/>
      <c r="H180" s="160">
        <f>$F$171</f>
        <v>0</v>
      </c>
      <c r="I180" s="204"/>
      <c r="J180" s="123"/>
      <c r="K180" s="123"/>
      <c r="L180" s="1"/>
      <c r="M180" s="1"/>
      <c r="N180" s="1"/>
      <c r="O180" s="1"/>
      <c r="P180" s="1"/>
      <c r="Q180" s="1"/>
      <c r="R180" s="1"/>
      <c r="S180" s="1"/>
      <c r="T180" s="1"/>
      <c r="U180" s="1"/>
      <c r="V180" s="1"/>
      <c r="W180" s="1"/>
      <c r="X180" s="1"/>
      <c r="Y180" s="1"/>
      <c r="Z180" s="1"/>
      <c r="AA180" s="1"/>
      <c r="AB180" s="1"/>
      <c r="AC180" s="1"/>
      <c r="AD180" s="1"/>
    </row>
    <row r="181" spans="1:30" s="2" customFormat="1" x14ac:dyDescent="0.2">
      <c r="A181" s="156" t="s">
        <v>233</v>
      </c>
      <c r="B181" s="160">
        <f>$C$172</f>
        <v>0</v>
      </c>
      <c r="C181" s="204"/>
      <c r="D181" s="160">
        <f>$D$172</f>
        <v>0</v>
      </c>
      <c r="E181" s="205"/>
      <c r="F181" s="160">
        <f>$E$172</f>
        <v>0</v>
      </c>
      <c r="G181" s="204"/>
      <c r="H181" s="160">
        <f>$F$172</f>
        <v>0</v>
      </c>
      <c r="I181" s="204"/>
      <c r="J181" s="123"/>
      <c r="K181" s="123"/>
      <c r="L181" s="1"/>
      <c r="M181" s="1"/>
      <c r="N181" s="1"/>
      <c r="O181" s="1"/>
      <c r="P181" s="1"/>
      <c r="Q181" s="1"/>
      <c r="R181" s="1"/>
      <c r="S181" s="1"/>
      <c r="T181" s="1"/>
      <c r="U181" s="1"/>
      <c r="V181" s="1"/>
      <c r="W181" s="1"/>
      <c r="X181" s="1"/>
      <c r="Y181" s="1"/>
      <c r="Z181" s="1"/>
      <c r="AA181" s="1"/>
      <c r="AB181" s="1"/>
      <c r="AC181" s="1"/>
      <c r="AD181" s="1"/>
    </row>
    <row r="182" spans="1:30" s="2" customFormat="1" x14ac:dyDescent="0.2">
      <c r="A182" s="156" t="s">
        <v>234</v>
      </c>
      <c r="B182" s="160">
        <f>$C$173</f>
        <v>0</v>
      </c>
      <c r="C182" s="204"/>
      <c r="D182" s="160">
        <f>$D$173</f>
        <v>0</v>
      </c>
      <c r="E182" s="205"/>
      <c r="F182" s="160">
        <f>$E$173</f>
        <v>0</v>
      </c>
      <c r="G182" s="204"/>
      <c r="H182" s="160">
        <f>$F$173</f>
        <v>0</v>
      </c>
      <c r="I182" s="204"/>
      <c r="J182" s="123"/>
      <c r="K182" s="123"/>
      <c r="L182" s="1"/>
      <c r="M182" s="1"/>
      <c r="N182" s="1"/>
      <c r="O182" s="1"/>
      <c r="P182" s="1"/>
      <c r="Q182" s="1"/>
      <c r="R182" s="1"/>
      <c r="S182" s="1"/>
      <c r="T182" s="1"/>
      <c r="U182" s="1"/>
      <c r="V182" s="1"/>
      <c r="W182" s="1"/>
      <c r="X182" s="1"/>
      <c r="Y182" s="1"/>
      <c r="Z182" s="1"/>
      <c r="AA182" s="1"/>
      <c r="AB182" s="1"/>
      <c r="AC182" s="1"/>
      <c r="AD182" s="1"/>
    </row>
    <row r="183" spans="1:30" s="2" customFormat="1" x14ac:dyDescent="0.2">
      <c r="A183" s="121"/>
      <c r="B183" s="123">
        <v>0</v>
      </c>
      <c r="C183" s="123"/>
      <c r="D183" s="123"/>
      <c r="E183" s="123"/>
      <c r="F183" s="121"/>
      <c r="G183" s="121"/>
      <c r="H183" s="123"/>
      <c r="I183" s="123"/>
      <c r="J183" s="123"/>
      <c r="K183" s="123"/>
      <c r="L183" s="1"/>
      <c r="M183" s="1"/>
      <c r="N183" s="1"/>
      <c r="O183" s="1"/>
      <c r="P183" s="1"/>
      <c r="Q183" s="1"/>
      <c r="R183" s="1"/>
      <c r="S183" s="1"/>
      <c r="T183" s="1"/>
      <c r="U183" s="1"/>
      <c r="V183" s="1"/>
      <c r="W183" s="1"/>
      <c r="X183" s="1"/>
      <c r="Y183" s="1"/>
      <c r="Z183" s="1"/>
      <c r="AA183" s="1"/>
      <c r="AB183" s="1"/>
      <c r="AC183" s="1"/>
      <c r="AD183" s="1"/>
    </row>
    <row r="184" spans="1:30" s="2" customFormat="1" x14ac:dyDescent="0.2">
      <c r="A184" s="121" t="s">
        <v>20</v>
      </c>
      <c r="B184" s="121"/>
      <c r="C184" s="161" t="s">
        <v>6</v>
      </c>
      <c r="D184" s="161" t="s">
        <v>7</v>
      </c>
      <c r="E184" s="161" t="s">
        <v>8</v>
      </c>
      <c r="F184" s="122"/>
      <c r="G184" s="122"/>
      <c r="H184" s="123"/>
      <c r="I184" s="123"/>
      <c r="J184" s="123"/>
      <c r="K184" s="123"/>
      <c r="L184" s="1"/>
      <c r="M184" s="1"/>
      <c r="N184" s="1"/>
      <c r="O184" s="1"/>
      <c r="P184" s="1"/>
      <c r="Q184" s="1"/>
      <c r="R184" s="1"/>
      <c r="S184" s="1"/>
      <c r="T184" s="1"/>
      <c r="U184" s="1"/>
      <c r="V184" s="1"/>
      <c r="W184" s="1"/>
      <c r="X184" s="1"/>
      <c r="Y184" s="1"/>
      <c r="Z184" s="1"/>
      <c r="AA184" s="1"/>
      <c r="AB184" s="1"/>
      <c r="AC184" s="1"/>
      <c r="AD184" s="1"/>
    </row>
    <row r="185" spans="1:30" s="2" customFormat="1" x14ac:dyDescent="0.2">
      <c r="A185" s="121" t="s">
        <v>9</v>
      </c>
      <c r="B185" s="121"/>
      <c r="C185" s="183"/>
      <c r="D185" s="183"/>
      <c r="E185" s="183"/>
      <c r="F185" s="162"/>
      <c r="G185" s="162"/>
      <c r="H185" s="123"/>
      <c r="I185" s="123"/>
      <c r="J185" s="123"/>
      <c r="K185" s="123"/>
      <c r="L185" s="1"/>
      <c r="M185" s="1"/>
      <c r="N185" s="1"/>
      <c r="O185" s="1"/>
      <c r="P185" s="1"/>
      <c r="Q185" s="1"/>
      <c r="R185" s="1"/>
      <c r="S185" s="1"/>
      <c r="T185" s="1"/>
      <c r="U185" s="1"/>
      <c r="V185" s="1"/>
      <c r="W185" s="1"/>
      <c r="X185" s="1"/>
      <c r="Y185" s="1"/>
      <c r="Z185" s="1"/>
      <c r="AA185" s="1"/>
      <c r="AB185" s="1"/>
      <c r="AC185" s="1"/>
      <c r="AD185" s="1"/>
    </row>
    <row r="186" spans="1:30" s="2" customFormat="1" x14ac:dyDescent="0.2">
      <c r="A186" s="121" t="s">
        <v>5</v>
      </c>
      <c r="B186" s="121"/>
      <c r="C186" s="183"/>
      <c r="D186" s="183"/>
      <c r="E186" s="183"/>
      <c r="F186" s="162"/>
      <c r="G186" s="134"/>
      <c r="H186" s="123"/>
      <c r="I186" s="123"/>
      <c r="J186" s="123"/>
      <c r="K186" s="123"/>
      <c r="L186" s="1"/>
      <c r="M186" s="5" t="s">
        <v>60</v>
      </c>
      <c r="N186" s="1"/>
      <c r="O186" s="1"/>
      <c r="P186"/>
      <c r="Q186" s="18" t="s">
        <v>175</v>
      </c>
      <c r="R186" t="s">
        <v>240</v>
      </c>
      <c r="S186" s="1"/>
      <c r="T186" s="1"/>
      <c r="U186" s="1"/>
      <c r="V186" s="1"/>
      <c r="W186" s="1"/>
      <c r="X186" s="1"/>
      <c r="Y186" s="1"/>
      <c r="Z186" s="1"/>
      <c r="AA186" s="1"/>
      <c r="AB186" s="1"/>
      <c r="AC186" s="1"/>
      <c r="AD186" s="1"/>
    </row>
    <row r="187" spans="1:30" s="2" customFormat="1" x14ac:dyDescent="0.2">
      <c r="A187" s="121" t="s">
        <v>144</v>
      </c>
      <c r="B187" s="121"/>
      <c r="C187" s="183"/>
      <c r="D187" s="183"/>
      <c r="E187" s="183"/>
      <c r="F187" s="162"/>
      <c r="G187" s="162"/>
      <c r="H187" s="145" t="s">
        <v>169</v>
      </c>
      <c r="I187" s="123"/>
      <c r="J187" s="123"/>
      <c r="K187" s="123"/>
      <c r="L187" s="1"/>
      <c r="M187" s="1" t="str">
        <f>"Fuel price projections for " &amp;fuel_type_plot&amp; " and "&amp;fuel_scenario_plot&amp; " scenario"</f>
        <v>Fuel price projections for MDO(DMB) and High scenario</v>
      </c>
      <c r="N187" s="1"/>
      <c r="O187" s="1"/>
      <c r="P187"/>
      <c r="Q187" s="18" t="s">
        <v>176</v>
      </c>
      <c r="R187" t="s">
        <v>8</v>
      </c>
      <c r="S187" s="1"/>
      <c r="T187" s="1"/>
      <c r="U187" s="1"/>
      <c r="V187" s="1"/>
      <c r="W187" s="1"/>
      <c r="X187" s="1"/>
      <c r="Y187" s="1"/>
      <c r="Z187" s="1"/>
      <c r="AA187" s="1"/>
      <c r="AB187" s="1"/>
      <c r="AC187" s="1"/>
      <c r="AD187" s="1"/>
    </row>
    <row r="188" spans="1:30" s="2" customFormat="1" x14ac:dyDescent="0.2">
      <c r="A188" s="121"/>
      <c r="B188" s="121"/>
      <c r="C188" s="121"/>
      <c r="D188" s="122"/>
      <c r="E188" s="122"/>
      <c r="F188" s="122"/>
      <c r="G188" s="122"/>
      <c r="H188" s="123"/>
      <c r="I188" s="123"/>
      <c r="J188" s="123"/>
      <c r="K188" s="123"/>
      <c r="L188" s="1"/>
      <c r="M188" s="1"/>
      <c r="N188" s="1"/>
      <c r="O188" s="1"/>
      <c r="P188" s="1"/>
      <c r="Q188" s="1"/>
      <c r="R188" s="1"/>
      <c r="S188" s="1"/>
      <c r="T188" s="1"/>
      <c r="U188" s="1"/>
      <c r="V188" s="1"/>
      <c r="W188" s="1"/>
      <c r="X188" s="1"/>
      <c r="Y188" s="1"/>
      <c r="Z188" s="1"/>
      <c r="AA188" s="1"/>
      <c r="AB188" s="1"/>
      <c r="AC188" s="1"/>
      <c r="AD188" s="1"/>
    </row>
    <row r="189" spans="1:30" s="2" customFormat="1" x14ac:dyDescent="0.2">
      <c r="A189" s="121" t="s">
        <v>177</v>
      </c>
      <c r="B189" s="185"/>
      <c r="C189" s="121"/>
      <c r="D189" s="122"/>
      <c r="E189" s="122"/>
      <c r="F189" s="122"/>
      <c r="G189" s="122"/>
      <c r="H189" s="123"/>
      <c r="I189" s="123"/>
      <c r="J189" s="123"/>
      <c r="K189" s="123"/>
      <c r="L189" s="1"/>
      <c r="M189" s="1"/>
      <c r="N189" s="1"/>
      <c r="O189" s="1"/>
      <c r="P189" s="1"/>
      <c r="Q189" s="1"/>
      <c r="R189" s="1"/>
      <c r="S189" s="1"/>
      <c r="T189" s="1"/>
      <c r="U189" s="1"/>
      <c r="V189" s="1"/>
      <c r="W189" s="1"/>
      <c r="X189" s="1"/>
      <c r="Y189" s="1"/>
      <c r="Z189" s="1"/>
      <c r="AA189" s="1"/>
      <c r="AB189" s="1"/>
      <c r="AC189" s="1"/>
      <c r="AD189" s="1"/>
    </row>
    <row r="190" spans="1:30" s="2" customFormat="1" x14ac:dyDescent="0.2">
      <c r="A190" s="121"/>
      <c r="B190" s="230" t="s">
        <v>239</v>
      </c>
      <c r="C190" s="230"/>
      <c r="D190" s="230"/>
      <c r="E190" s="230"/>
      <c r="F190" s="230"/>
      <c r="G190" s="230"/>
      <c r="H190" s="230"/>
      <c r="I190" s="230"/>
      <c r="J190" s="123"/>
      <c r="K190" s="123"/>
      <c r="L190" s="1"/>
      <c r="N190" s="5" t="s">
        <v>201</v>
      </c>
      <c r="O190" s="1"/>
      <c r="P190" s="1"/>
      <c r="Q190" s="1"/>
      <c r="R190" s="1"/>
      <c r="S190" s="1"/>
      <c r="T190" s="1"/>
      <c r="U190" s="1"/>
      <c r="V190" s="1"/>
      <c r="W190" s="1"/>
      <c r="X190" s="1"/>
      <c r="Y190" s="1"/>
      <c r="Z190" s="1"/>
      <c r="AA190" s="1"/>
      <c r="AB190" s="1"/>
      <c r="AC190" s="1"/>
      <c r="AD190" s="1"/>
    </row>
    <row r="191" spans="1:30" s="2" customFormat="1" x14ac:dyDescent="0.2">
      <c r="A191" s="121"/>
      <c r="B191" s="163"/>
      <c r="C191" s="164">
        <f>fuel_type1</f>
        <v>0</v>
      </c>
      <c r="D191" s="165"/>
      <c r="E191" s="164">
        <f>fuel_type2</f>
        <v>0</v>
      </c>
      <c r="F191" s="165"/>
      <c r="G191" s="164">
        <f>fuel_type3</f>
        <v>0</v>
      </c>
      <c r="H191" s="165"/>
      <c r="I191" s="164">
        <f>fuel_type4</f>
        <v>0</v>
      </c>
      <c r="J191" s="123"/>
      <c r="K191" s="123"/>
      <c r="L191" s="1"/>
      <c r="M191" s="18" t="s">
        <v>202</v>
      </c>
      <c r="N191" s="18">
        <f>fuel_type1</f>
        <v>0</v>
      </c>
      <c r="O191" s="18">
        <f>fuel_type2</f>
        <v>0</v>
      </c>
      <c r="P191" s="18">
        <f>fuel_type3</f>
        <v>0</v>
      </c>
      <c r="Q191" s="18">
        <f>fuel_type4</f>
        <v>0</v>
      </c>
      <c r="R191" s="1"/>
      <c r="S191" s="1"/>
      <c r="T191" s="1"/>
      <c r="U191" s="1"/>
      <c r="V191" s="1"/>
      <c r="W191" s="1"/>
      <c r="X191" s="1"/>
      <c r="Y191" s="1"/>
      <c r="Z191" s="1"/>
      <c r="AA191" s="1"/>
      <c r="AB191" s="1"/>
      <c r="AC191" s="1"/>
      <c r="AD191" s="1"/>
    </row>
    <row r="192" spans="1:30" s="2" customFormat="1" x14ac:dyDescent="0.2">
      <c r="A192" s="156" t="s">
        <v>232</v>
      </c>
      <c r="B192" s="166">
        <f>$C$171</f>
        <v>0</v>
      </c>
      <c r="C192" s="206"/>
      <c r="D192" s="166">
        <f>$D$171</f>
        <v>0</v>
      </c>
      <c r="E192" s="208"/>
      <c r="F192" s="166">
        <f>$E$171</f>
        <v>0</v>
      </c>
      <c r="G192" s="208"/>
      <c r="H192" s="166">
        <f>$F$171</f>
        <v>0</v>
      </c>
      <c r="I192" s="206"/>
      <c r="J192" s="123"/>
      <c r="K192" s="123"/>
      <c r="L192" s="1"/>
      <c r="M192" s="20">
        <v>1</v>
      </c>
      <c r="N192" s="4">
        <f>1-$C$192</f>
        <v>1</v>
      </c>
      <c r="O192" s="4">
        <f>1-$E$192</f>
        <v>1</v>
      </c>
      <c r="P192" s="4">
        <f>1-$G$192</f>
        <v>1</v>
      </c>
      <c r="Q192" s="4">
        <f>1-$I$192</f>
        <v>1</v>
      </c>
      <c r="R192" s="1"/>
      <c r="S192" s="1"/>
      <c r="T192" s="1"/>
      <c r="U192" s="1"/>
      <c r="V192" s="1"/>
      <c r="W192" s="1"/>
      <c r="X192" s="1"/>
      <c r="Y192" s="1"/>
      <c r="Z192" s="1"/>
      <c r="AA192" s="1"/>
      <c r="AB192" s="1"/>
      <c r="AC192" s="1"/>
      <c r="AD192" s="1"/>
    </row>
    <row r="193" spans="1:30" s="2" customFormat="1" x14ac:dyDescent="0.2">
      <c r="A193" s="156" t="s">
        <v>233</v>
      </c>
      <c r="B193" s="166">
        <f>$C$172</f>
        <v>0</v>
      </c>
      <c r="C193" s="206"/>
      <c r="D193" s="166">
        <f>$D$172</f>
        <v>0</v>
      </c>
      <c r="E193" s="208"/>
      <c r="F193" s="166">
        <f>$E$172</f>
        <v>0</v>
      </c>
      <c r="G193" s="208"/>
      <c r="H193" s="166">
        <f>$F$172</f>
        <v>0</v>
      </c>
      <c r="I193" s="206"/>
      <c r="J193" s="123"/>
      <c r="K193" s="123"/>
      <c r="L193" s="1"/>
      <c r="M193" s="20">
        <v>0.5</v>
      </c>
      <c r="N193" s="4">
        <f>1-$C$193</f>
        <v>1</v>
      </c>
      <c r="O193" s="4">
        <f>1-$E$193</f>
        <v>1</v>
      </c>
      <c r="P193" s="4">
        <f>1-$G$193</f>
        <v>1</v>
      </c>
      <c r="Q193" s="4">
        <f>1-$I$193</f>
        <v>1</v>
      </c>
      <c r="R193" s="1"/>
      <c r="S193" s="1"/>
      <c r="T193" s="1"/>
      <c r="U193" s="1"/>
      <c r="V193" s="1"/>
      <c r="W193" s="1"/>
      <c r="X193" s="1"/>
      <c r="Y193" s="1"/>
      <c r="Z193" s="1"/>
      <c r="AA193" s="1"/>
      <c r="AB193" s="1"/>
      <c r="AC193" s="1"/>
      <c r="AD193" s="1"/>
    </row>
    <row r="194" spans="1:30" s="2" customFormat="1" x14ac:dyDescent="0.2">
      <c r="A194" s="156" t="s">
        <v>234</v>
      </c>
      <c r="B194" s="167">
        <f>$C$173</f>
        <v>0</v>
      </c>
      <c r="C194" s="207"/>
      <c r="D194" s="167">
        <f>$D$173</f>
        <v>0</v>
      </c>
      <c r="E194" s="209"/>
      <c r="F194" s="167">
        <f>$E$173</f>
        <v>0</v>
      </c>
      <c r="G194" s="209"/>
      <c r="H194" s="167">
        <f>$F$173</f>
        <v>0</v>
      </c>
      <c r="I194" s="207"/>
      <c r="J194" s="123"/>
      <c r="K194" s="123"/>
      <c r="L194" s="1"/>
      <c r="M194" s="20">
        <v>0.1</v>
      </c>
      <c r="N194" s="4">
        <f>1-$C$194</f>
        <v>1</v>
      </c>
      <c r="O194" s="4">
        <f>1-$E$194</f>
        <v>1</v>
      </c>
      <c r="P194" s="4">
        <f>1-$G$194</f>
        <v>1</v>
      </c>
      <c r="Q194" s="4">
        <f>1-$I$194</f>
        <v>1</v>
      </c>
      <c r="R194" s="1"/>
      <c r="S194" s="1"/>
      <c r="T194" s="1"/>
      <c r="U194" s="1"/>
      <c r="V194" s="1"/>
      <c r="W194" s="1"/>
      <c r="X194" s="1"/>
      <c r="Y194" s="1"/>
      <c r="Z194" s="1"/>
      <c r="AA194" s="1"/>
      <c r="AB194" s="1"/>
      <c r="AC194" s="1"/>
      <c r="AD194" s="1"/>
    </row>
    <row r="195" spans="1:30" s="2" customFormat="1" x14ac:dyDescent="0.2">
      <c r="A195" s="121"/>
      <c r="B195" s="129"/>
      <c r="C195" s="129"/>
      <c r="D195" s="129"/>
      <c r="E195" s="129"/>
      <c r="F195" s="129"/>
      <c r="G195" s="129"/>
      <c r="H195" s="123"/>
      <c r="I195" s="123"/>
      <c r="J195" s="123"/>
      <c r="K195" s="123"/>
      <c r="L195" s="1"/>
      <c r="M195" s="1"/>
      <c r="N195" s="1"/>
      <c r="O195" s="1"/>
      <c r="P195" s="1"/>
      <c r="Q195" s="1"/>
      <c r="R195" s="1"/>
      <c r="S195" s="1"/>
      <c r="T195" s="1"/>
      <c r="U195" s="1"/>
      <c r="V195" s="1"/>
      <c r="W195" s="1"/>
      <c r="X195" s="1"/>
      <c r="Y195" s="1"/>
      <c r="Z195" s="1"/>
      <c r="AA195" s="1"/>
      <c r="AB195" s="1"/>
      <c r="AC195" s="1"/>
      <c r="AD195" s="1"/>
    </row>
    <row r="196" spans="1:30" s="2" customFormat="1" x14ac:dyDescent="0.2">
      <c r="A196" s="153" t="s">
        <v>148</v>
      </c>
      <c r="B196" s="129"/>
      <c r="C196" s="129"/>
      <c r="D196" s="129"/>
      <c r="E196" s="129"/>
      <c r="F196" s="129"/>
      <c r="G196" s="129"/>
      <c r="H196" s="123"/>
      <c r="I196" s="123"/>
      <c r="J196" s="123"/>
      <c r="K196" s="123"/>
      <c r="L196" s="1"/>
      <c r="M196" s="1"/>
      <c r="N196" s="1"/>
      <c r="O196" s="1"/>
      <c r="P196" s="1"/>
      <c r="Q196" s="1"/>
      <c r="R196" s="1"/>
      <c r="S196" s="1"/>
      <c r="T196" s="1"/>
      <c r="U196" s="1"/>
      <c r="V196" s="1"/>
      <c r="W196" s="1"/>
      <c r="X196" s="1"/>
      <c r="Y196" s="1"/>
      <c r="Z196" s="1"/>
      <c r="AA196" s="1"/>
      <c r="AB196" s="1"/>
      <c r="AC196" s="1"/>
      <c r="AD196" s="1"/>
    </row>
    <row r="197" spans="1:30" s="2" customFormat="1" x14ac:dyDescent="0.2">
      <c r="A197" s="128" t="s">
        <v>180</v>
      </c>
      <c r="B197" s="129"/>
      <c r="C197" s="129"/>
      <c r="D197" s="129"/>
      <c r="E197" s="129"/>
      <c r="F197" s="129"/>
      <c r="G197" s="129"/>
      <c r="H197" s="123"/>
      <c r="I197" s="123"/>
      <c r="J197" s="123"/>
      <c r="K197" s="123"/>
      <c r="L197" s="1"/>
      <c r="M197" s="1"/>
      <c r="N197" s="1"/>
      <c r="O197" s="1"/>
      <c r="P197" s="1"/>
      <c r="Q197" s="1"/>
      <c r="R197" s="1"/>
      <c r="S197" s="1"/>
      <c r="T197" s="1"/>
      <c r="U197" s="1"/>
      <c r="V197" s="1"/>
      <c r="W197" s="1"/>
      <c r="X197" s="1"/>
      <c r="Y197" s="1"/>
      <c r="Z197" s="1"/>
      <c r="AA197" s="1"/>
      <c r="AB197" s="1"/>
      <c r="AC197" s="1"/>
      <c r="AD197" s="1"/>
    </row>
    <row r="198" spans="1:30" s="2" customFormat="1" x14ac:dyDescent="0.2">
      <c r="A198" s="128" t="s">
        <v>192</v>
      </c>
      <c r="B198" s="129"/>
      <c r="C198" s="129"/>
      <c r="D198" s="129"/>
      <c r="E198" s="129"/>
      <c r="F198" s="129"/>
      <c r="G198" s="129"/>
      <c r="H198" s="123"/>
      <c r="I198" s="123"/>
      <c r="J198" s="123"/>
      <c r="K198" s="123"/>
      <c r="L198" s="1"/>
      <c r="M198" s="1"/>
      <c r="N198" s="1"/>
      <c r="O198" s="1"/>
      <c r="P198" s="1"/>
      <c r="Q198" s="1"/>
      <c r="R198" s="1"/>
      <c r="S198" s="1"/>
      <c r="T198" s="1"/>
      <c r="U198" s="1"/>
      <c r="V198" s="1"/>
      <c r="W198" s="1"/>
      <c r="X198" s="1"/>
      <c r="Y198" s="1"/>
      <c r="Z198" s="1"/>
      <c r="AA198" s="1"/>
      <c r="AB198" s="1"/>
      <c r="AC198" s="1"/>
      <c r="AD198" s="1"/>
    </row>
    <row r="199" spans="1:30" s="2" customFormat="1" x14ac:dyDescent="0.2">
      <c r="A199" s="128" t="s">
        <v>195</v>
      </c>
      <c r="B199" s="129"/>
      <c r="C199" s="129"/>
      <c r="D199" s="129"/>
      <c r="E199" s="129"/>
      <c r="F199" s="129"/>
      <c r="G199" s="129"/>
      <c r="H199" s="123"/>
      <c r="I199" s="123"/>
      <c r="J199" s="123"/>
      <c r="K199" s="123"/>
      <c r="L199" s="1"/>
      <c r="M199" s="1"/>
      <c r="N199" s="1"/>
      <c r="O199" s="1"/>
      <c r="P199" s="1"/>
      <c r="Q199" s="1"/>
      <c r="R199" s="1"/>
      <c r="S199" s="1"/>
      <c r="T199" s="1"/>
      <c r="U199" s="1"/>
      <c r="V199" s="1"/>
      <c r="W199" s="1"/>
      <c r="X199" s="1"/>
      <c r="Y199" s="1"/>
      <c r="Z199" s="1"/>
      <c r="AA199" s="1"/>
      <c r="AB199" s="1"/>
      <c r="AC199" s="1"/>
      <c r="AD199" s="1"/>
    </row>
    <row r="200" spans="1:30" s="2" customFormat="1" x14ac:dyDescent="0.2">
      <c r="A200" s="128" t="s">
        <v>46</v>
      </c>
      <c r="B200" s="129"/>
      <c r="C200" s="129"/>
      <c r="D200" s="129"/>
      <c r="E200" s="129"/>
      <c r="F200" s="129"/>
      <c r="G200" s="129"/>
      <c r="H200" s="123"/>
      <c r="I200" s="123"/>
      <c r="J200" s="123"/>
      <c r="K200" s="123"/>
      <c r="L200" s="1"/>
      <c r="M200" s="1"/>
      <c r="N200" s="1"/>
      <c r="O200" s="1"/>
      <c r="P200" s="1"/>
      <c r="Q200" s="1"/>
      <c r="R200" s="1"/>
      <c r="S200" s="1"/>
      <c r="T200" s="1"/>
      <c r="U200" s="1"/>
      <c r="V200" s="1"/>
      <c r="W200" s="1"/>
      <c r="X200" s="1"/>
      <c r="Y200" s="1"/>
      <c r="Z200" s="1"/>
      <c r="AA200" s="1"/>
      <c r="AB200" s="1"/>
      <c r="AC200" s="1"/>
      <c r="AD200" s="1"/>
    </row>
    <row r="201" spans="1:30" s="2" customFormat="1" x14ac:dyDescent="0.2">
      <c r="A201" s="128" t="s">
        <v>153</v>
      </c>
      <c r="B201" s="129"/>
      <c r="C201" s="129"/>
      <c r="D201" s="129"/>
      <c r="E201" s="129"/>
      <c r="F201" s="129"/>
      <c r="G201" s="129"/>
      <c r="H201" s="123"/>
      <c r="I201" s="123"/>
      <c r="J201" s="123"/>
      <c r="K201" s="123"/>
      <c r="L201" s="1"/>
      <c r="M201" s="1"/>
      <c r="N201" s="1"/>
      <c r="O201" s="1"/>
      <c r="P201" s="1"/>
      <c r="Q201" s="1"/>
      <c r="R201" s="1"/>
      <c r="S201" s="1"/>
      <c r="T201" s="1"/>
      <c r="U201" s="1"/>
      <c r="V201" s="1"/>
      <c r="W201" s="1"/>
      <c r="X201" s="1"/>
      <c r="Y201" s="1"/>
      <c r="Z201" s="1"/>
      <c r="AA201" s="1"/>
      <c r="AB201" s="1"/>
      <c r="AC201" s="1"/>
      <c r="AD201" s="1"/>
    </row>
    <row r="202" spans="1:30" s="2" customFormat="1" x14ac:dyDescent="0.2">
      <c r="A202" s="128" t="s">
        <v>150</v>
      </c>
      <c r="B202" s="129"/>
      <c r="C202" s="129"/>
      <c r="D202" s="129"/>
      <c r="E202" s="129"/>
      <c r="F202" s="129"/>
      <c r="G202" s="129"/>
      <c r="H202" s="123"/>
      <c r="I202" s="123"/>
      <c r="J202" s="123"/>
      <c r="K202" s="123"/>
      <c r="L202" s="1"/>
      <c r="M202" s="1"/>
      <c r="N202" s="1"/>
      <c r="O202" s="1"/>
      <c r="P202" s="1"/>
      <c r="Q202" s="1"/>
      <c r="R202" s="1"/>
      <c r="S202" s="1"/>
      <c r="T202" s="1"/>
      <c r="U202" s="1"/>
      <c r="V202" s="1"/>
      <c r="W202" s="1"/>
      <c r="X202" s="1"/>
      <c r="Y202" s="1"/>
      <c r="Z202" s="1"/>
      <c r="AA202" s="1"/>
      <c r="AB202" s="1"/>
      <c r="AC202" s="1"/>
      <c r="AD202" s="1"/>
    </row>
    <row r="203" spans="1:30" s="2" customFormat="1" x14ac:dyDescent="0.2">
      <c r="A203" s="128" t="s">
        <v>151</v>
      </c>
      <c r="B203" s="129"/>
      <c r="C203" s="129"/>
      <c r="D203" s="129"/>
      <c r="E203" s="129"/>
      <c r="F203" s="129"/>
      <c r="G203" s="129"/>
      <c r="H203" s="123"/>
      <c r="I203" s="123"/>
      <c r="J203" s="123"/>
      <c r="K203" s="123"/>
      <c r="L203" s="1"/>
      <c r="M203" s="1"/>
      <c r="N203" s="1"/>
      <c r="O203" s="1"/>
      <c r="P203" s="1"/>
      <c r="Q203" s="1"/>
      <c r="R203" s="1"/>
      <c r="S203" s="1"/>
      <c r="T203" s="1"/>
      <c r="U203" s="1"/>
      <c r="V203" s="1"/>
      <c r="W203" s="1"/>
      <c r="X203" s="1"/>
      <c r="Y203" s="1"/>
      <c r="Z203" s="1"/>
      <c r="AA203" s="1"/>
      <c r="AB203" s="1"/>
      <c r="AC203" s="1"/>
      <c r="AD203" s="1"/>
    </row>
    <row r="204" spans="1:30" s="2" customFormat="1" x14ac:dyDescent="0.2">
      <c r="A204" s="128" t="s">
        <v>152</v>
      </c>
      <c r="B204" s="129"/>
      <c r="C204" s="129"/>
      <c r="D204" s="129"/>
      <c r="E204" s="129"/>
      <c r="F204" s="129"/>
      <c r="G204" s="129"/>
      <c r="H204" s="123"/>
      <c r="I204" s="123"/>
      <c r="J204" s="123"/>
      <c r="K204" s="123"/>
      <c r="L204" s="1"/>
      <c r="M204" s="1"/>
      <c r="N204" s="1"/>
      <c r="O204" s="1"/>
      <c r="P204" s="1"/>
      <c r="Q204" s="1"/>
      <c r="R204" s="1"/>
      <c r="S204" s="1"/>
      <c r="T204" s="1"/>
      <c r="U204" s="1"/>
      <c r="V204" s="1"/>
      <c r="W204" s="1"/>
      <c r="X204" s="1"/>
      <c r="Y204" s="1"/>
      <c r="Z204" s="1"/>
      <c r="AA204" s="1"/>
      <c r="AB204" s="1"/>
      <c r="AC204" s="1"/>
      <c r="AD204" s="1"/>
    </row>
    <row r="205" spans="1:30" s="2" customFormat="1" x14ac:dyDescent="0.2">
      <c r="A205" s="121"/>
      <c r="B205" s="121"/>
      <c r="C205" s="121"/>
      <c r="D205" s="122"/>
      <c r="E205" s="122"/>
      <c r="F205" s="122"/>
      <c r="G205" s="122"/>
      <c r="H205" s="123"/>
      <c r="I205" s="123"/>
      <c r="J205" s="123"/>
      <c r="K205" s="123"/>
      <c r="L205" s="1"/>
      <c r="M205" s="1"/>
      <c r="N205" s="1"/>
      <c r="O205" s="1"/>
      <c r="P205" s="1"/>
      <c r="Q205" s="1"/>
      <c r="R205" s="1"/>
      <c r="S205" s="1"/>
      <c r="T205" s="1"/>
      <c r="U205" s="1"/>
      <c r="V205" s="1"/>
      <c r="W205" s="1"/>
      <c r="X205" s="1"/>
      <c r="Y205" s="1"/>
      <c r="Z205" s="1"/>
      <c r="AA205" s="1"/>
      <c r="AB205" s="1"/>
      <c r="AC205" s="1"/>
      <c r="AD205" s="1"/>
    </row>
    <row r="206" spans="1:30" s="2" customFormat="1" ht="20.25" x14ac:dyDescent="0.3">
      <c r="A206" s="127" t="s">
        <v>46</v>
      </c>
      <c r="B206" s="121"/>
      <c r="C206" s="121"/>
      <c r="D206" s="122"/>
      <c r="E206" s="122"/>
      <c r="F206" s="122"/>
      <c r="G206" s="122"/>
      <c r="H206" s="123"/>
      <c r="I206" s="123"/>
      <c r="J206" s="123"/>
      <c r="K206" s="123"/>
      <c r="L206" s="1"/>
      <c r="M206" s="1"/>
      <c r="N206" s="1"/>
      <c r="O206" s="1"/>
      <c r="P206" s="1"/>
      <c r="Q206" s="1"/>
      <c r="R206" s="1"/>
      <c r="S206" s="1"/>
      <c r="T206" s="1"/>
      <c r="U206" s="1"/>
      <c r="V206" s="1"/>
      <c r="W206" s="1"/>
      <c r="X206" s="1"/>
      <c r="Y206" s="1"/>
      <c r="Z206" s="1"/>
      <c r="AA206" s="1"/>
      <c r="AB206" s="1"/>
      <c r="AC206" s="1"/>
      <c r="AD206" s="1"/>
    </row>
    <row r="207" spans="1:30" s="2" customFormat="1" x14ac:dyDescent="0.2">
      <c r="A207" s="134" t="s">
        <v>155</v>
      </c>
      <c r="B207" s="121"/>
      <c r="C207" s="121"/>
      <c r="D207" s="122"/>
      <c r="E207" s="122"/>
      <c r="F207" s="122"/>
      <c r="G207" s="122"/>
      <c r="H207" s="123"/>
      <c r="I207" s="123"/>
      <c r="J207" s="123"/>
      <c r="K207" s="123"/>
      <c r="L207" s="1"/>
      <c r="M207" s="1"/>
      <c r="N207" s="16"/>
      <c r="O207" s="1"/>
      <c r="P207" s="1"/>
      <c r="Q207" s="1"/>
      <c r="R207" s="1"/>
      <c r="S207" s="1"/>
      <c r="T207" s="1"/>
      <c r="U207" s="1"/>
      <c r="V207" s="1"/>
      <c r="W207" s="1"/>
      <c r="X207" s="1"/>
      <c r="Y207" s="1"/>
      <c r="Z207" s="1"/>
      <c r="AA207" s="1"/>
      <c r="AB207" s="1"/>
      <c r="AC207" s="1"/>
      <c r="AD207" s="1"/>
    </row>
    <row r="208" spans="1:30" s="2" customFormat="1" x14ac:dyDescent="0.2">
      <c r="A208" s="121"/>
      <c r="B208" s="121"/>
      <c r="C208" s="121"/>
      <c r="D208" s="122"/>
      <c r="E208" s="122"/>
      <c r="F208" s="122"/>
      <c r="G208" s="122"/>
      <c r="H208" s="123"/>
      <c r="I208" s="123"/>
      <c r="J208" s="123"/>
      <c r="K208" s="123"/>
      <c r="L208" s="1"/>
      <c r="M208" s="1"/>
      <c r="N208" s="1"/>
      <c r="O208" s="1"/>
      <c r="P208" s="1"/>
      <c r="Q208" s="1"/>
      <c r="R208" s="1"/>
      <c r="S208" s="1"/>
      <c r="T208" s="1"/>
      <c r="U208" s="1"/>
      <c r="V208" s="1"/>
      <c r="W208" s="1"/>
      <c r="X208" s="1"/>
      <c r="Y208" s="1"/>
      <c r="Z208" s="1"/>
      <c r="AA208" s="1"/>
      <c r="AB208" s="1"/>
      <c r="AC208" s="1"/>
      <c r="AD208" s="1"/>
    </row>
    <row r="209" spans="1:30" s="2" customFormat="1" x14ac:dyDescent="0.2">
      <c r="A209" s="155" t="s">
        <v>4</v>
      </c>
      <c r="B209" s="129" t="str">
        <f>IF(ship1="","",ship1)</f>
        <v/>
      </c>
      <c r="C209" s="129" t="str">
        <f>IF(ship2="","",ship2)</f>
        <v/>
      </c>
      <c r="D209" s="129" t="str">
        <f>IF(ship3="","",ship3)</f>
        <v/>
      </c>
      <c r="E209" s="129" t="str">
        <f>IF(ship4="","",ship4)</f>
        <v/>
      </c>
      <c r="F209" s="129" t="str">
        <f>IF(ship5="","",ship5)</f>
        <v/>
      </c>
      <c r="G209" s="129" t="str">
        <f>IF(ship6="","",ship6)</f>
        <v/>
      </c>
      <c r="H209" s="123"/>
      <c r="I209" s="123"/>
      <c r="J209" s="123"/>
      <c r="K209" s="123"/>
      <c r="L209" s="1"/>
      <c r="M209" s="7"/>
      <c r="N209" s="7"/>
      <c r="O209" s="7"/>
      <c r="P209" s="7"/>
      <c r="Q209" s="7"/>
      <c r="R209" s="7"/>
      <c r="S209" s="1"/>
      <c r="T209" s="1"/>
      <c r="U209" s="1"/>
      <c r="V209" s="1"/>
      <c r="W209" s="1"/>
      <c r="X209" s="1"/>
      <c r="Y209" s="1"/>
      <c r="Z209" s="1"/>
      <c r="AA209" s="1"/>
      <c r="AB209" s="1"/>
      <c r="AC209" s="1"/>
      <c r="AD209" s="1"/>
    </row>
    <row r="210" spans="1:30" s="2" customFormat="1" x14ac:dyDescent="0.2">
      <c r="A210" s="155" t="s">
        <v>95</v>
      </c>
      <c r="B210" s="210"/>
      <c r="C210" s="210"/>
      <c r="D210" s="210"/>
      <c r="E210" s="210"/>
      <c r="F210" s="210"/>
      <c r="G210" s="210"/>
      <c r="H210" s="123"/>
      <c r="I210" s="123"/>
      <c r="J210" s="123"/>
      <c r="K210" s="123"/>
      <c r="L210" s="1"/>
      <c r="M210" s="7"/>
      <c r="N210" s="7"/>
      <c r="O210" s="7"/>
      <c r="P210" s="7"/>
      <c r="Q210" s="7"/>
      <c r="R210" s="7"/>
      <c r="S210" s="1"/>
      <c r="T210" s="1"/>
      <c r="U210" s="1"/>
      <c r="V210" s="1"/>
      <c r="W210" s="1"/>
      <c r="X210" s="1"/>
      <c r="Y210" s="1"/>
      <c r="Z210" s="1"/>
      <c r="AA210" s="1"/>
      <c r="AB210" s="1"/>
      <c r="AC210" s="1"/>
      <c r="AD210" s="1"/>
    </row>
    <row r="211" spans="1:30" s="2" customFormat="1" x14ac:dyDescent="0.2">
      <c r="A211" s="168" t="s">
        <v>47</v>
      </c>
      <c r="B211" s="201"/>
      <c r="C211" s="201"/>
      <c r="D211" s="193"/>
      <c r="E211" s="193"/>
      <c r="F211" s="193"/>
      <c r="G211" s="193"/>
      <c r="H211" s="123"/>
      <c r="I211" s="123"/>
      <c r="J211" s="123"/>
      <c r="K211" s="123"/>
      <c r="L211" s="1"/>
      <c r="M211" s="8"/>
      <c r="N211" s="8"/>
      <c r="O211" s="8"/>
      <c r="P211" s="8"/>
      <c r="Q211" s="8"/>
      <c r="R211" s="8"/>
      <c r="S211" s="1"/>
      <c r="T211" s="1"/>
      <c r="U211" s="1"/>
      <c r="V211" s="1"/>
      <c r="W211" s="1"/>
      <c r="X211" s="1"/>
      <c r="Y211" s="1"/>
      <c r="Z211" s="1"/>
      <c r="AA211" s="1"/>
      <c r="AB211" s="1"/>
      <c r="AC211" s="1"/>
      <c r="AD211" s="1"/>
    </row>
    <row r="212" spans="1:30" s="2" customFormat="1" x14ac:dyDescent="0.2">
      <c r="A212" s="168" t="s">
        <v>48</v>
      </c>
      <c r="B212" s="201"/>
      <c r="C212" s="201"/>
      <c r="D212" s="193"/>
      <c r="E212" s="193"/>
      <c r="F212" s="193"/>
      <c r="G212" s="193"/>
      <c r="H212" s="123"/>
      <c r="I212" s="123"/>
      <c r="J212" s="123"/>
      <c r="K212" s="123"/>
      <c r="L212" s="1"/>
      <c r="M212" s="9"/>
      <c r="N212" s="10"/>
      <c r="O212" s="9"/>
      <c r="P212" s="9"/>
      <c r="Q212" s="9"/>
      <c r="R212" s="9"/>
      <c r="S212" s="1"/>
      <c r="T212" s="1"/>
      <c r="U212" s="1"/>
      <c r="V212" s="1"/>
      <c r="W212" s="1"/>
      <c r="X212" s="1"/>
      <c r="Y212" s="1"/>
      <c r="Z212" s="1"/>
      <c r="AA212" s="1"/>
      <c r="AB212" s="1"/>
      <c r="AC212" s="1"/>
      <c r="AD212" s="1"/>
    </row>
    <row r="213" spans="1:30" s="2" customFormat="1" x14ac:dyDescent="0.2">
      <c r="A213" s="168" t="s">
        <v>49</v>
      </c>
      <c r="B213" s="201"/>
      <c r="C213" s="201"/>
      <c r="D213" s="193"/>
      <c r="E213" s="193"/>
      <c r="F213" s="193"/>
      <c r="G213" s="193"/>
      <c r="H213" s="123"/>
      <c r="I213" s="123"/>
      <c r="J213" s="123"/>
      <c r="K213" s="123"/>
      <c r="L213" s="1"/>
      <c r="M213" s="8"/>
      <c r="N213" s="8"/>
      <c r="O213" s="8"/>
      <c r="P213" s="8"/>
      <c r="Q213" s="8"/>
      <c r="R213" s="8"/>
      <c r="S213" s="1"/>
      <c r="T213" s="1"/>
      <c r="U213" s="1"/>
      <c r="V213" s="1"/>
      <c r="W213" s="1"/>
      <c r="X213" s="1"/>
      <c r="Y213" s="1"/>
      <c r="Z213" s="1"/>
      <c r="AA213" s="1"/>
      <c r="AB213" s="1"/>
      <c r="AC213" s="1"/>
      <c r="AD213" s="1"/>
    </row>
    <row r="214" spans="1:30" s="2" customFormat="1" x14ac:dyDescent="0.2">
      <c r="A214" s="168" t="s">
        <v>73</v>
      </c>
      <c r="B214" s="201"/>
      <c r="C214" s="201"/>
      <c r="D214" s="193"/>
      <c r="E214" s="193"/>
      <c r="F214" s="193"/>
      <c r="G214" s="193"/>
      <c r="H214" s="123"/>
      <c r="I214" s="123"/>
      <c r="J214" s="123"/>
      <c r="K214" s="123"/>
      <c r="L214" s="1"/>
      <c r="M214" s="8"/>
      <c r="N214" s="8"/>
      <c r="O214" s="8"/>
      <c r="P214" s="8"/>
      <c r="Q214" s="8"/>
      <c r="R214" s="8"/>
      <c r="S214" s="1"/>
      <c r="T214" s="1"/>
      <c r="U214" s="1"/>
      <c r="V214" s="1"/>
      <c r="W214" s="1"/>
      <c r="X214" s="1"/>
      <c r="Y214" s="1"/>
      <c r="Z214" s="1"/>
      <c r="AA214" s="1"/>
      <c r="AB214" s="1"/>
      <c r="AC214" s="1"/>
      <c r="AD214" s="1"/>
    </row>
    <row r="215" spans="1:30" s="2" customFormat="1" x14ac:dyDescent="0.2">
      <c r="A215" s="121" t="str">
        <f>fuel_type1&amp; " through the EGCS [%]"</f>
        <v xml:space="preserve"> through the EGCS [%]</v>
      </c>
      <c r="B215" s="169">
        <f>IF(ship1_fuel_type1=0,0,(B$211*B$88*(B$70=fuel_type1)+B$212*B$113*(B$95=fuel_type1)+B$213*B$138*(B$120=fuel_type1)+B$214*B$149*(B$142=fuel_type1))/ship1_fuel_type1)</f>
        <v>0</v>
      </c>
      <c r="C215" s="169">
        <f>IF(ship2_fuel_type1=0,0,(C$211*C$88*(C$70=fuel_type1)+C$212*C$113*(C$95=fuel_type1)+C$213*C$138*(C$120=fuel_type1)+C$214*C$149*(C$142=fuel_type1))/ship2_fuel_type1)</f>
        <v>0</v>
      </c>
      <c r="D215" s="169">
        <f>IF(ship3_fuel_type1=0,0,(D$211*D$88*(D$70=fuel_type1)+D$212*D$113*(D$95=fuel_type1)+D$213*D$138*(D$120=fuel_type1)+D$214*D$149*(D$142=fuel_type1))/ship3_fuel_type1)</f>
        <v>0</v>
      </c>
      <c r="E215" s="169">
        <f>IF(ship4_fuel_type1=0,0,(E$211*E$88*(E$70=fuel_type1)+E$212*E$113*(E$95=fuel_type1)+E$213*E$138*(E$120=fuel_type1)+E$214*E$149*(E$142=fuel_type1))/ship4_fuel_type1)</f>
        <v>0</v>
      </c>
      <c r="F215" s="169">
        <f>IF(ship5_fuel_type1=0,0,(F$211*F$88*(F$70=fuel_type1)+F$212*F$113*(F$95=fuel_type1)+F$213*F$138*(F$120=fuel_type1)+F$214*F$149*(F$142=fuel_type1))/ship5_fuel_type1)</f>
        <v>0</v>
      </c>
      <c r="G215" s="169">
        <f>IF(ship6_fuel_type1=0,0,(G$211*G$88*(G$70=fuel_type1)+G$212*G$113*(G$95=fuel_type1)+G$213*G$138*(G$120=fuel_type1)+G$214*G$149*(G$142=fuel_type1))/ship6_fuel_type1)</f>
        <v>0</v>
      </c>
      <c r="H215" s="123"/>
      <c r="I215" s="123"/>
      <c r="J215" s="123"/>
      <c r="K215" s="123"/>
      <c r="L215" s="1"/>
      <c r="M215" s="1"/>
      <c r="N215" s="1"/>
      <c r="O215" s="1"/>
      <c r="P215" s="1"/>
      <c r="Q215" s="1"/>
      <c r="R215" s="1"/>
      <c r="S215" s="1"/>
      <c r="T215" s="1"/>
      <c r="U215" s="1"/>
      <c r="V215" s="1"/>
      <c r="W215" s="1"/>
      <c r="X215" s="1"/>
      <c r="Y215" s="1"/>
      <c r="Z215" s="1"/>
      <c r="AA215" s="1"/>
      <c r="AB215" s="1"/>
      <c r="AC215" s="1"/>
      <c r="AD215" s="1"/>
    </row>
    <row r="216" spans="1:30" s="2" customFormat="1" x14ac:dyDescent="0.2">
      <c r="A216" s="121" t="str">
        <f>fuel_type2&amp; " through the EGCS [%]"</f>
        <v xml:space="preserve"> through the EGCS [%]</v>
      </c>
      <c r="B216" s="169">
        <f>IF(ship1_fuel_type2=0,0,(B$211*B$88*(B$70=fuel_type2)+B$212*B$113*(B$95=fuel_type2)+B$213*B$138*(B$120=fuel_type2)+B$214*B$149*(B$142=fuel_type2))/ship1_fuel_type2)</f>
        <v>0</v>
      </c>
      <c r="C216" s="169">
        <f>IF(ship2_fuel_type2=0,0,(C$211*C$88*(C$70=fuel_type2)+C$212*C$113*(C$95=fuel_type2)+C$213*C$138*(C$120=fuel_type2)+C$214*C$149*(C$142=fuel_type2))/ship2_fuel_type2)</f>
        <v>0</v>
      </c>
      <c r="D216" s="169">
        <f>IF(ship3_fuel_type2=0,0,(D$211*D$88*(D$70=fuel_type2)+D$212*D$113*(D$95=fuel_type2)+D$213*D$138*(D$120=fuel_type2)+D$214*D$149*(D$142=fuel_type2))/ship3_fuel_type2)</f>
        <v>0</v>
      </c>
      <c r="E216" s="169">
        <f>IF(ship4_fuel_type2=0,0,(E$211*E$88*(E$70=fuel_type2)+E$212*E$113*(E$95=fuel_type2)+E$213*E$138*(E$120=fuel_type2)+E$214*E$149*(E$142=fuel_type2))/ship4_fuel_type2)</f>
        <v>0</v>
      </c>
      <c r="F216" s="169">
        <f>IF(ship5_fuel_type2=0,0,(F$211*F$88*(F$70=fuel_type2)+F$212*F$113*(F$95=fuel_type2)+F$213*F$138*(F$120=fuel_type2)+F$214*F$149*(F$142=fuel_type2))/ship5_fuel_type2)</f>
        <v>0</v>
      </c>
      <c r="G216" s="169">
        <f>IF(ship6_fuel_type2=0,0,(G$211*G$88*(G$70=fuel_type2)+G$212*G$113*(G$95=fuel_type2)+G$213*G$138*(G$120=fuel_type2)+G$214*G$149*(G$142=fuel_type2))/ship6_fuel_type2)</f>
        <v>0</v>
      </c>
      <c r="H216" s="123"/>
      <c r="I216" s="123"/>
      <c r="J216" s="123"/>
      <c r="K216" s="123"/>
      <c r="L216" s="1"/>
      <c r="M216" s="10"/>
      <c r="N216" s="10"/>
      <c r="O216" s="10"/>
      <c r="P216" s="10"/>
      <c r="Q216" s="10"/>
      <c r="R216" s="10"/>
      <c r="S216" s="1"/>
      <c r="T216" s="1"/>
      <c r="U216" s="1"/>
      <c r="V216" s="1"/>
      <c r="W216" s="1"/>
      <c r="X216" s="1"/>
      <c r="Y216" s="1"/>
      <c r="Z216" s="1"/>
      <c r="AA216" s="1"/>
      <c r="AB216" s="1"/>
      <c r="AC216" s="1"/>
      <c r="AD216" s="1"/>
    </row>
    <row r="217" spans="1:30" s="2" customFormat="1" x14ac:dyDescent="0.2">
      <c r="A217" s="121" t="str">
        <f>fuel_type3&amp; " through the EGCS [%]"</f>
        <v xml:space="preserve"> through the EGCS [%]</v>
      </c>
      <c r="B217" s="169">
        <f>IF(ship1_fuel_type3=0,0,(B$211*B$88*(B$70=fuel_type3)+B$212*B$113*(B$95=fuel_type3)+B$213*B$138*(B$120=fuel_type3)+B$214*B$149*(B$142=fuel_type3))/ship1_fuel_type3)</f>
        <v>0</v>
      </c>
      <c r="C217" s="169">
        <f>IF(ship2_fuel_type3=0,0,(C$211*C$88*(C$70=fuel_type3)+C$212*C$113*(C$95=fuel_type3)+C$213*C$138*(C$120=fuel_type3)+C$214*C$149*(C$142=fuel_type3))/ship2_fuel_type3)</f>
        <v>0</v>
      </c>
      <c r="D217" s="169">
        <f>IF(ship3_fuel_type3=0,0,(D$211*D$88*(D$70=fuel_type3)+D$212*D$113*(D$95=fuel_type3)+D$213*D$138*(D$120=fuel_type3)+D$214*D$149*(D$142=fuel_type3))/ship3_fuel_type3)</f>
        <v>0</v>
      </c>
      <c r="E217" s="169">
        <f>IF(ship4_fuel_type3=0,0,(E$211*E$88*(E$70=fuel_type3)+E$212*E$113*(E$95=fuel_type3)+E$213*E$138*(E$120=fuel_type3)+E$214*E$149*(E$142=fuel_type3))/ship4_fuel_type3)</f>
        <v>0</v>
      </c>
      <c r="F217" s="169">
        <f>IF(ship5_fuel_type3=0,0,(F$211*F$88*(F$70=fuel_type3)+F$212*F$113*(F$95=fuel_type3)+F$213*F$138*(F$120=fuel_type3)+F$214*F$149*(F$142=fuel_type3))/ship5_fuel_type3)</f>
        <v>0</v>
      </c>
      <c r="G217" s="169">
        <f>IF(ship6_fuel_type3=0,0,(G$211*G$88*(G$70=fuel_type3)+G$212*G$113*(G$95=fuel_type3)+G$213*G$138*(G$120=fuel_type3)+G$214*G$149*(G$142=fuel_type3))/ship6_fuel_type3)</f>
        <v>0</v>
      </c>
      <c r="H217" s="123"/>
      <c r="I217" s="123"/>
      <c r="J217" s="123"/>
      <c r="K217" s="123"/>
      <c r="L217" s="1"/>
      <c r="M217" s="10"/>
      <c r="N217" s="10"/>
      <c r="O217" s="10"/>
      <c r="P217" s="10"/>
      <c r="Q217" s="10"/>
      <c r="R217" s="10"/>
      <c r="S217" s="1"/>
      <c r="T217" s="1"/>
      <c r="U217" s="1"/>
      <c r="V217" s="1"/>
      <c r="W217" s="1"/>
      <c r="X217" s="1"/>
      <c r="Y217" s="1"/>
      <c r="Z217" s="1"/>
      <c r="AA217" s="1"/>
      <c r="AB217" s="1"/>
      <c r="AC217" s="1"/>
      <c r="AD217" s="1"/>
    </row>
    <row r="218" spans="1:30" s="2" customFormat="1" x14ac:dyDescent="0.2">
      <c r="A218" s="121" t="str">
        <f>fuel_type4&amp; " through the EGCS [%]"</f>
        <v xml:space="preserve"> through the EGCS [%]</v>
      </c>
      <c r="B218" s="169">
        <f>IF(ship1_fuel_type4=0,0,(B$211*B$88*(B$70=fuel_type4)+B$212*B$113*(B$95=fuel_type4)+B$213*B$138*(B$120=fuel_type4)+B$214*B$149*(B$142=fuel_type4))/ship1_fuel_type4)</f>
        <v>0</v>
      </c>
      <c r="C218" s="169">
        <f>IF(ship2_fuel_type4=0,0,(C$211*C$88*(C$70=fuel_type4)+C$212*C$113*(C$95=fuel_type4)+C$213*C$138*(C$120=fuel_type4)+C$214*C$149*(C$142=fuel_type4))/ship2_fuel_type4)</f>
        <v>0</v>
      </c>
      <c r="D218" s="169">
        <f>IF(ship3_fuel_type4=0,0,(D$211*D$88*(D$70=fuel_type4)+D$212*D$113*(D$95=fuel_type4)+D$213*D$138*(D$120=fuel_type4)+D$214*D$149*(D$142=fuel_type4))/ship3_fuel_type4)</f>
        <v>0</v>
      </c>
      <c r="E218" s="169">
        <f>IF(ship4_fuel_type4=0,0,(E$211*E$88*(E$70=fuel_type4)+E$212*E$113*(E$95=fuel_type4)+E$213*E$138*(E$120=fuel_type4)+E$214*E$149*(E$142=fuel_type4))/ship4_fuel_type4)</f>
        <v>0</v>
      </c>
      <c r="F218" s="169">
        <f>IF(ship5_fuel_type4=0,0,(F$211*F$88*(F$70=fuel_type4)+F$212*F$113*(F$95=fuel_type4)+F$213*F$138*(F$120=fuel_type4)+F$214*F$149*(F$142=fuel_type4))/ship5_fuel_type4)</f>
        <v>0</v>
      </c>
      <c r="G218" s="169">
        <f>IF(ship6_fuel_type4=0,0,(G$211*G$88*(G$70=fuel_type4)+G$212*G$113*(G$95=fuel_type4)+G$213*G$138*(G$120=fuel_type4)+G$214*G$149*(G$142=fuel_type4))/ship6_fuel_type4)</f>
        <v>0</v>
      </c>
      <c r="H218" s="123"/>
      <c r="I218" s="123"/>
      <c r="J218" s="123"/>
      <c r="K218" s="123"/>
      <c r="L218" s="1"/>
      <c r="M218" s="10"/>
      <c r="N218" s="1"/>
      <c r="O218" s="10"/>
      <c r="P218" s="10"/>
      <c r="Q218" s="10"/>
      <c r="R218" s="10"/>
      <c r="S218" s="1"/>
      <c r="T218" s="1"/>
      <c r="U218" s="1"/>
      <c r="V218" s="1"/>
      <c r="W218" s="1"/>
      <c r="X218" s="1"/>
      <c r="Y218" s="1"/>
      <c r="Z218" s="1"/>
      <c r="AA218" s="1"/>
      <c r="AB218" s="1"/>
      <c r="AC218" s="1"/>
      <c r="AD218" s="1"/>
    </row>
    <row r="219" spans="1:30" s="2" customFormat="1" x14ac:dyDescent="0.2">
      <c r="A219" s="155" t="s">
        <v>83</v>
      </c>
      <c r="B219" s="189"/>
      <c r="C219" s="190"/>
      <c r="D219" s="190"/>
      <c r="E219" s="190"/>
      <c r="F219" s="190"/>
      <c r="G219" s="190"/>
      <c r="H219" s="123"/>
      <c r="I219" s="123"/>
      <c r="J219" s="123"/>
      <c r="K219" s="123"/>
      <c r="L219" s="1"/>
      <c r="M219" s="10"/>
      <c r="N219" s="10"/>
      <c r="O219" s="10"/>
      <c r="P219" s="10"/>
      <c r="Q219" s="10"/>
      <c r="R219" s="10"/>
      <c r="S219" s="1"/>
      <c r="T219" s="1"/>
      <c r="U219" s="1"/>
      <c r="V219" s="1"/>
      <c r="W219" s="1"/>
      <c r="X219" s="1"/>
      <c r="Y219" s="1"/>
      <c r="Z219" s="1"/>
      <c r="AA219" s="1"/>
      <c r="AB219" s="1"/>
      <c r="AC219" s="1"/>
      <c r="AD219" s="1"/>
    </row>
    <row r="220" spans="1:30" s="2" customFormat="1" x14ac:dyDescent="0.2">
      <c r="A220" s="155"/>
      <c r="B220" s="123"/>
      <c r="C220" s="123"/>
      <c r="D220" s="123"/>
      <c r="E220" s="123"/>
      <c r="F220" s="123"/>
      <c r="G220" s="123"/>
      <c r="H220" s="123"/>
      <c r="I220" s="123"/>
      <c r="J220" s="123"/>
      <c r="K220" s="123"/>
      <c r="L220" s="1"/>
      <c r="M220" s="10"/>
      <c r="N220" s="10"/>
      <c r="O220" s="10"/>
      <c r="P220" s="10"/>
      <c r="Q220" s="10"/>
      <c r="R220" s="10"/>
      <c r="S220" s="1"/>
      <c r="T220" s="1"/>
      <c r="U220" s="1"/>
      <c r="V220" s="1"/>
      <c r="W220" s="1"/>
      <c r="X220" s="1"/>
      <c r="Y220" s="1"/>
      <c r="Z220" s="1"/>
      <c r="AA220" s="1"/>
      <c r="AB220" s="1"/>
      <c r="AC220" s="1"/>
      <c r="AD220" s="1"/>
    </row>
    <row r="221" spans="1:30" s="2" customFormat="1" x14ac:dyDescent="0.2">
      <c r="A221" s="168" t="s">
        <v>82</v>
      </c>
      <c r="B221" s="189"/>
      <c r="C221" s="190"/>
      <c r="D221" s="190"/>
      <c r="E221" s="190"/>
      <c r="F221" s="190"/>
      <c r="G221" s="190"/>
      <c r="H221" s="123"/>
      <c r="I221" s="123"/>
      <c r="J221" s="123"/>
      <c r="K221" s="123"/>
      <c r="L221" s="1"/>
      <c r="M221" s="11"/>
      <c r="N221" s="11"/>
      <c r="O221" s="11"/>
      <c r="P221" s="11"/>
      <c r="Q221" s="11"/>
      <c r="R221" s="11"/>
      <c r="S221" s="1"/>
      <c r="T221" s="1"/>
      <c r="U221" s="1"/>
      <c r="V221" s="1"/>
      <c r="W221" s="1"/>
      <c r="X221" s="1"/>
      <c r="Y221" s="1"/>
      <c r="Z221" s="1"/>
      <c r="AA221" s="1"/>
      <c r="AB221" s="1"/>
      <c r="AC221" s="1"/>
      <c r="AD221" s="1"/>
    </row>
    <row r="222" spans="1:30" s="2" customFormat="1" x14ac:dyDescent="0.2">
      <c r="A222" s="155" t="s">
        <v>207</v>
      </c>
      <c r="B222" s="199"/>
      <c r="C222" s="188"/>
      <c r="D222" s="188"/>
      <c r="E222" s="188"/>
      <c r="F222" s="188"/>
      <c r="G222" s="188"/>
      <c r="H222" s="123"/>
      <c r="I222" s="123"/>
      <c r="J222" s="123"/>
      <c r="K222" s="123"/>
      <c r="L222" s="1"/>
      <c r="M222" s="11"/>
      <c r="N222" s="11"/>
      <c r="O222" s="11"/>
      <c r="P222" s="11"/>
      <c r="Q222" s="11"/>
      <c r="R222" s="11"/>
      <c r="S222" s="1"/>
      <c r="T222" s="1"/>
      <c r="U222" s="1"/>
      <c r="V222" s="1"/>
      <c r="W222" s="1"/>
      <c r="X222" s="1"/>
      <c r="Y222" s="1"/>
      <c r="Z222" s="1"/>
      <c r="AA222" s="1"/>
      <c r="AB222" s="1"/>
      <c r="AC222" s="1"/>
      <c r="AD222" s="1"/>
    </row>
    <row r="223" spans="1:30" s="2" customFormat="1" x14ac:dyDescent="0.2">
      <c r="A223" s="155"/>
      <c r="B223" s="239" t="s">
        <v>243</v>
      </c>
      <c r="C223" s="239"/>
      <c r="D223" s="239"/>
      <c r="E223" s="239"/>
      <c r="F223" s="239"/>
      <c r="G223" s="239"/>
      <c r="H223" s="123"/>
      <c r="I223" s="123"/>
      <c r="J223" s="123"/>
      <c r="K223" s="123"/>
      <c r="L223" s="1"/>
      <c r="M223" s="11"/>
      <c r="N223" s="11"/>
      <c r="O223" s="11"/>
      <c r="P223" s="11"/>
      <c r="Q223" s="11"/>
      <c r="R223" s="11"/>
      <c r="S223" s="1"/>
      <c r="T223" s="1"/>
      <c r="U223" s="1"/>
      <c r="V223" s="1"/>
      <c r="W223" s="1"/>
      <c r="X223" s="1"/>
      <c r="Y223" s="1"/>
      <c r="Z223" s="1"/>
      <c r="AA223" s="1"/>
      <c r="AB223" s="1"/>
      <c r="AC223" s="1"/>
      <c r="AD223" s="1"/>
    </row>
    <row r="224" spans="1:30" s="2" customFormat="1" x14ac:dyDescent="0.2">
      <c r="A224" s="155" t="s">
        <v>205</v>
      </c>
      <c r="B224" s="147">
        <f t="shared" ref="B224:G224" si="23">(10^(-6))*24*365*B$221*B$222*(B$211*B$68*(B$35*B$72*B$73+B$39*B$75*B$76+B$43*B$78*B$79+B$47*B$81*B$82+B$51*B$84*B$85)+B$212*B$93*(B$35*B$97*B$98+B$39*B$100*B$101+B$43*B$103*B$104+B$47*B$106*B$107+B$51*B$109*B$110)+B$213*B$118*(B$35*B$122*B$123+B$39*B$125*B$126+B$43*B$128*B$129+B$47*B$131*B$132+B$51*B$134*B$135)+B$214*B$141*(B$35*B$144+B$39*B$145+B$43*B$146+B$47*B$147+B$51*B$148))</f>
        <v>0</v>
      </c>
      <c r="C224" s="147">
        <f t="shared" si="23"/>
        <v>0</v>
      </c>
      <c r="D224" s="147">
        <f t="shared" si="23"/>
        <v>0</v>
      </c>
      <c r="E224" s="147">
        <f t="shared" si="23"/>
        <v>0</v>
      </c>
      <c r="F224" s="147">
        <f t="shared" si="23"/>
        <v>0</v>
      </c>
      <c r="G224" s="147">
        <f t="shared" si="23"/>
        <v>0</v>
      </c>
      <c r="H224" s="134" t="s">
        <v>203</v>
      </c>
      <c r="I224" s="123"/>
      <c r="J224" s="123"/>
      <c r="K224" s="123"/>
      <c r="L224" s="1"/>
      <c r="M224" s="11"/>
      <c r="N224" s="11"/>
      <c r="O224" s="11"/>
      <c r="P224" s="11"/>
      <c r="Q224" s="11"/>
      <c r="R224" s="11"/>
      <c r="S224" s="1"/>
      <c r="T224" s="1"/>
      <c r="U224" s="1"/>
      <c r="V224" s="1"/>
      <c r="W224" s="1"/>
      <c r="X224" s="1"/>
      <c r="Y224" s="1"/>
      <c r="Z224" s="1"/>
      <c r="AA224" s="1"/>
      <c r="AB224" s="1"/>
      <c r="AC224" s="1"/>
      <c r="AD224" s="1"/>
    </row>
    <row r="225" spans="1:30" s="2" customFormat="1" x14ac:dyDescent="0.2">
      <c r="A225" s="155" t="s">
        <v>206</v>
      </c>
      <c r="B225" s="199"/>
      <c r="C225" s="188"/>
      <c r="D225" s="188"/>
      <c r="E225" s="188"/>
      <c r="F225" s="188"/>
      <c r="G225" s="188"/>
      <c r="H225" s="134"/>
      <c r="I225" s="123"/>
      <c r="J225" s="123"/>
      <c r="K225" s="123"/>
      <c r="L225" s="1"/>
      <c r="M225" s="11"/>
      <c r="N225" s="11"/>
      <c r="O225" s="11"/>
      <c r="P225" s="11"/>
      <c r="Q225" s="11"/>
      <c r="R225" s="11"/>
      <c r="S225" s="1"/>
      <c r="T225" s="1"/>
      <c r="U225" s="1"/>
      <c r="V225" s="1"/>
      <c r="W225" s="1"/>
      <c r="X225" s="1"/>
      <c r="Y225" s="1"/>
      <c r="Z225" s="1"/>
      <c r="AA225" s="1"/>
      <c r="AB225" s="1"/>
      <c r="AC225" s="1"/>
      <c r="AD225" s="1"/>
    </row>
    <row r="226" spans="1:30" s="2" customFormat="1" x14ac:dyDescent="0.2">
      <c r="A226" s="155" t="s">
        <v>210</v>
      </c>
      <c r="B226" s="129">
        <f t="shared" ref="B226:G226" si="24">B224+B225</f>
        <v>0</v>
      </c>
      <c r="C226" s="129">
        <f t="shared" si="24"/>
        <v>0</v>
      </c>
      <c r="D226" s="129">
        <f t="shared" si="24"/>
        <v>0</v>
      </c>
      <c r="E226" s="129">
        <f t="shared" si="24"/>
        <v>0</v>
      </c>
      <c r="F226" s="129">
        <f t="shared" si="24"/>
        <v>0</v>
      </c>
      <c r="G226" s="129">
        <f t="shared" si="24"/>
        <v>0</v>
      </c>
      <c r="H226" s="134"/>
      <c r="I226" s="123"/>
      <c r="J226" s="123"/>
      <c r="K226" s="123"/>
      <c r="L226" s="1"/>
      <c r="M226" s="12"/>
      <c r="N226" s="1"/>
      <c r="O226" s="1"/>
      <c r="P226" s="1"/>
      <c r="Q226" s="1"/>
      <c r="R226" s="1"/>
      <c r="S226" s="1"/>
      <c r="T226" s="1"/>
      <c r="U226" s="1"/>
      <c r="V226" s="1"/>
      <c r="W226" s="1"/>
      <c r="X226" s="1"/>
      <c r="Y226" s="1"/>
      <c r="Z226" s="1"/>
      <c r="AA226" s="1"/>
      <c r="AB226" s="1"/>
      <c r="AC226" s="1"/>
      <c r="AD226" s="1"/>
    </row>
    <row r="227" spans="1:30" s="2" customFormat="1" x14ac:dyDescent="0.2">
      <c r="A227" s="155" t="s">
        <v>244</v>
      </c>
      <c r="B227" s="199"/>
      <c r="C227" s="188"/>
      <c r="D227" s="188"/>
      <c r="E227" s="188"/>
      <c r="F227" s="188"/>
      <c r="G227" s="188"/>
      <c r="H227" s="134" t="s">
        <v>204</v>
      </c>
      <c r="I227" s="123"/>
      <c r="J227" s="123"/>
      <c r="K227" s="123"/>
      <c r="L227" s="1"/>
      <c r="M227" s="12"/>
      <c r="N227" s="1"/>
      <c r="O227" s="1"/>
      <c r="P227" s="1"/>
      <c r="Q227" s="1"/>
      <c r="R227" s="1"/>
      <c r="S227" s="1"/>
      <c r="T227" s="1"/>
      <c r="U227" s="1"/>
      <c r="V227" s="1"/>
      <c r="W227" s="1"/>
      <c r="X227" s="1"/>
      <c r="Y227" s="1"/>
      <c r="Z227" s="1"/>
      <c r="AA227" s="1"/>
      <c r="AB227" s="1"/>
      <c r="AC227" s="1"/>
      <c r="AD227" s="1"/>
    </row>
    <row r="228" spans="1:30" s="2" customFormat="1" x14ac:dyDescent="0.2">
      <c r="A228" s="155" t="s">
        <v>245</v>
      </c>
      <c r="B228" s="199"/>
      <c r="C228" s="188"/>
      <c r="D228" s="188"/>
      <c r="E228" s="188"/>
      <c r="F228" s="188"/>
      <c r="G228" s="188"/>
      <c r="H228" s="134"/>
      <c r="I228" s="123"/>
      <c r="J228" s="123"/>
      <c r="K228" s="123"/>
      <c r="L228" s="1"/>
      <c r="M228" s="12"/>
      <c r="N228" s="1"/>
      <c r="O228" s="1"/>
      <c r="P228" s="1"/>
      <c r="Q228" s="1"/>
      <c r="R228" s="1"/>
      <c r="S228" s="1"/>
      <c r="T228" s="1"/>
      <c r="U228" s="1"/>
      <c r="V228" s="1"/>
      <c r="W228" s="1"/>
      <c r="X228" s="1"/>
      <c r="Y228" s="1"/>
      <c r="Z228" s="1"/>
      <c r="AA228" s="1"/>
      <c r="AB228" s="1"/>
      <c r="AC228" s="1"/>
      <c r="AD228" s="1"/>
    </row>
    <row r="229" spans="1:30" s="2" customFormat="1" x14ac:dyDescent="0.2">
      <c r="A229" s="155" t="s">
        <v>242</v>
      </c>
      <c r="B229" s="147">
        <f t="shared" ref="B229:G229" si="25">B227+B228</f>
        <v>0</v>
      </c>
      <c r="C229" s="147">
        <f t="shared" si="25"/>
        <v>0</v>
      </c>
      <c r="D229" s="147">
        <f t="shared" si="25"/>
        <v>0</v>
      </c>
      <c r="E229" s="147">
        <f t="shared" si="25"/>
        <v>0</v>
      </c>
      <c r="F229" s="147">
        <f t="shared" si="25"/>
        <v>0</v>
      </c>
      <c r="G229" s="147">
        <f t="shared" si="25"/>
        <v>0</v>
      </c>
      <c r="H229" s="134"/>
      <c r="I229" s="123"/>
      <c r="J229" s="123"/>
      <c r="K229" s="123"/>
      <c r="L229" s="1"/>
      <c r="M229" s="12"/>
      <c r="N229" s="1"/>
      <c r="O229" s="1"/>
      <c r="P229" s="1"/>
      <c r="Q229" s="1"/>
      <c r="R229" s="1"/>
      <c r="S229" s="1"/>
      <c r="T229" s="1"/>
      <c r="U229" s="1"/>
      <c r="V229" s="1"/>
      <c r="W229" s="1"/>
      <c r="X229" s="1"/>
      <c r="Y229" s="1"/>
      <c r="Z229" s="1"/>
      <c r="AA229" s="1"/>
      <c r="AB229" s="1"/>
      <c r="AC229" s="1"/>
      <c r="AD229" s="1"/>
    </row>
    <row r="230" spans="1:30" s="2" customFormat="1" x14ac:dyDescent="0.2">
      <c r="A230" s="155"/>
      <c r="B230" s="239" t="s">
        <v>211</v>
      </c>
      <c r="C230" s="239"/>
      <c r="D230" s="239"/>
      <c r="E230" s="239"/>
      <c r="F230" s="239"/>
      <c r="G230" s="239"/>
      <c r="H230" s="134"/>
      <c r="I230" s="123"/>
      <c r="J230" s="123"/>
      <c r="K230" s="123"/>
      <c r="L230" s="1"/>
      <c r="M230" s="12"/>
      <c r="N230" s="1"/>
      <c r="O230" s="1"/>
      <c r="P230" s="1"/>
      <c r="Q230" s="1"/>
      <c r="R230" s="1"/>
      <c r="S230" s="1"/>
      <c r="T230" s="1"/>
      <c r="U230" s="1"/>
      <c r="V230" s="1"/>
      <c r="W230" s="1"/>
      <c r="X230" s="1"/>
      <c r="Y230" s="1"/>
      <c r="Z230" s="1"/>
      <c r="AA230" s="1"/>
      <c r="AB230" s="1"/>
      <c r="AC230" s="1"/>
      <c r="AD230" s="1"/>
    </row>
    <row r="231" spans="1:30" s="2" customFormat="1" x14ac:dyDescent="0.2">
      <c r="A231" s="155" t="s">
        <v>214</v>
      </c>
      <c r="B231" s="211"/>
      <c r="C231" s="212"/>
      <c r="D231" s="212"/>
      <c r="E231" s="212"/>
      <c r="F231" s="212"/>
      <c r="G231" s="212"/>
      <c r="H231" s="123"/>
      <c r="I231" s="123"/>
      <c r="J231" s="123"/>
      <c r="K231" s="123"/>
      <c r="L231" s="1"/>
      <c r="M231" s="12"/>
      <c r="N231" s="1"/>
      <c r="O231" s="1"/>
      <c r="P231" s="1"/>
      <c r="Q231" s="1"/>
      <c r="R231" s="1"/>
      <c r="S231" s="1"/>
      <c r="T231" s="1"/>
      <c r="U231" s="1"/>
      <c r="V231" s="1"/>
      <c r="W231" s="1"/>
      <c r="X231" s="1"/>
      <c r="Y231" s="1"/>
      <c r="Z231" s="1"/>
      <c r="AA231" s="1"/>
      <c r="AB231" s="1"/>
      <c r="AC231" s="1"/>
      <c r="AD231" s="1"/>
    </row>
    <row r="232" spans="1:30" s="2" customFormat="1" ht="25.5" customHeight="1" x14ac:dyDescent="0.2">
      <c r="A232" s="170" t="s">
        <v>200</v>
      </c>
      <c r="B232" s="211"/>
      <c r="C232" s="212"/>
      <c r="D232" s="212"/>
      <c r="E232" s="212"/>
      <c r="F232" s="212"/>
      <c r="G232" s="212"/>
      <c r="H232" s="123"/>
      <c r="I232" s="123"/>
      <c r="J232" s="123"/>
      <c r="K232" s="123"/>
      <c r="L232" s="1"/>
      <c r="M232" s="12"/>
      <c r="N232" s="1"/>
      <c r="O232" s="1"/>
      <c r="P232" s="1"/>
      <c r="Q232" s="1"/>
      <c r="R232" s="1"/>
      <c r="S232" s="1"/>
      <c r="T232" s="1"/>
      <c r="U232" s="1"/>
      <c r="V232" s="1"/>
      <c r="W232" s="1"/>
      <c r="X232" s="1"/>
      <c r="Y232" s="1"/>
      <c r="Z232" s="1"/>
      <c r="AA232" s="1"/>
      <c r="AB232" s="1"/>
      <c r="AC232" s="1"/>
      <c r="AD232" s="1"/>
    </row>
    <row r="233" spans="1:30" s="2" customFormat="1" x14ac:dyDescent="0.2">
      <c r="A233" s="155" t="s">
        <v>212</v>
      </c>
      <c r="B233" s="147">
        <f>IF(mach_egcs_ship1=B$66,B70,IF(mach_egcs_ship1=B$91,B95,IF(mach_egcs_ship1=B116,B120,"n/a")))</f>
        <v>0</v>
      </c>
      <c r="C233" s="147">
        <f>IF(mach_egcs_ship2=C$66,C70,IF(mach_egcs_ship2=C$91,C95,IF(mach_egcs_ship2=C116,C120,"n/a")))</f>
        <v>0</v>
      </c>
      <c r="D233" s="147">
        <f>IF(mach_egcs_ship3=D$66,D70,IF(mach_egcs_ship3=D$91,D95,IF(mach_egcs_ship3=D116,D120,"n/a")))</f>
        <v>0</v>
      </c>
      <c r="E233" s="147">
        <f>IF(mach_egcs_ship4=E$66,E70,IF(mach_egcs_ship4=E$91,E95,IF(mach_egcs_ship4=E116,E120,"n/a")))</f>
        <v>0</v>
      </c>
      <c r="F233" s="147">
        <f>IF(mach_egcs_ship5=F$66,F70,IF(mach_egcs_ship5=F$91,F95,IF(mach_egcs_ship5=F116,F120,"n/a")))</f>
        <v>0</v>
      </c>
      <c r="G233" s="147">
        <f>IF(mach_egcs_ship6=G$66,G70,IF(mach_egcs_ship6=G$91,G95,IF(mach_egcs_ship6=G116,G120,"n/a")))</f>
        <v>0</v>
      </c>
      <c r="H233" s="123"/>
      <c r="I233" s="123"/>
      <c r="J233" s="123"/>
      <c r="K233" s="123"/>
      <c r="L233" s="1"/>
      <c r="M233" s="12"/>
      <c r="N233" s="1"/>
      <c r="O233" s="1"/>
      <c r="P233" s="1"/>
      <c r="Q233" s="1"/>
      <c r="R233" s="1"/>
      <c r="S233" s="1"/>
      <c r="T233" s="1"/>
      <c r="U233" s="1"/>
      <c r="V233" s="1"/>
      <c r="W233" s="1"/>
      <c r="X233" s="1"/>
      <c r="Y233" s="1"/>
      <c r="Z233" s="1"/>
      <c r="AA233" s="1"/>
      <c r="AB233" s="1"/>
      <c r="AC233" s="1"/>
      <c r="AD233" s="1"/>
    </row>
    <row r="234" spans="1:30" s="2" customFormat="1" x14ac:dyDescent="0.2">
      <c r="A234" s="155" t="s">
        <v>213</v>
      </c>
      <c r="B234" s="147">
        <f>IF(mach_egcs_ship1=B$66,B87,IF(mach_egcs_ship1=B$91,B112,IF(mach_egcs_ship1=B116,B137,0)))</f>
        <v>0</v>
      </c>
      <c r="C234" s="147">
        <f>IF(mach_egcs_ship2=C$66,C87,IF(mach_egcs_ship2=C$91,C112,IF(mach_egcs_ship2=C116,C137,0)))</f>
        <v>0</v>
      </c>
      <c r="D234" s="147">
        <f>IF(mach_egcs_ship3=D$66,D87,IF(mach_egcs_ship3=D$91,D112,IF(mach_egcs_ship3=D116,D137,0)))</f>
        <v>0</v>
      </c>
      <c r="E234" s="147">
        <f>IF(mach_egcs_ship4=E$66,E87,IF(mach_egcs_ship4=E$91,E112,IF(mach_egcs_ship4=E116,E137,0)))</f>
        <v>0</v>
      </c>
      <c r="F234" s="147">
        <f>IF(mach_egcs_ship5=F$66,F87,IF(mach_egcs_ship5=F$91,F112,IF(mach_egcs_ship5=F116,F137,0)))</f>
        <v>0</v>
      </c>
      <c r="G234" s="147">
        <f>IF(mach_egcs_ship6=G$66,G87,IF(mach_egcs_ship6=G$91,G112,IF(mach_egcs_ship6=G116,G137,0)))</f>
        <v>0</v>
      </c>
      <c r="H234" s="123"/>
      <c r="I234" s="123"/>
      <c r="J234" s="123"/>
      <c r="K234" s="123"/>
      <c r="L234" s="1"/>
      <c r="M234" s="12"/>
      <c r="N234" s="1"/>
      <c r="O234" s="1"/>
      <c r="P234" s="1"/>
      <c r="Q234" s="1"/>
      <c r="R234" s="1"/>
      <c r="S234" s="1"/>
      <c r="T234" s="1"/>
      <c r="U234" s="1"/>
      <c r="V234" s="1"/>
      <c r="W234" s="1"/>
      <c r="X234" s="1"/>
      <c r="Y234" s="1"/>
      <c r="Z234" s="1"/>
      <c r="AA234" s="1"/>
      <c r="AB234" s="1"/>
      <c r="AC234" s="1"/>
      <c r="AD234" s="1"/>
    </row>
    <row r="235" spans="1:30" s="2" customFormat="1" x14ac:dyDescent="0.2">
      <c r="A235" s="155" t="s">
        <v>211</v>
      </c>
      <c r="B235" s="147">
        <f>24*365/(10^6)*power_egcs_ship1*B234</f>
        <v>0</v>
      </c>
      <c r="C235" s="147">
        <f>24*365/(10^6)*power_egcs_ship2*C234</f>
        <v>0</v>
      </c>
      <c r="D235" s="147">
        <f>24*365/(10^6)*power_egcs_ship3*D234</f>
        <v>0</v>
      </c>
      <c r="E235" s="147">
        <f>24*365/(10^6)*power_egcs_ship4*E234</f>
        <v>0</v>
      </c>
      <c r="F235" s="147">
        <f>24*365/(10^6)*power_egcs_ship5*F234</f>
        <v>0</v>
      </c>
      <c r="G235" s="147">
        <f>24*365/(10^6)*power_egcs_ship6*G234</f>
        <v>0</v>
      </c>
      <c r="H235" s="123"/>
      <c r="I235" s="123"/>
      <c r="J235" s="123"/>
      <c r="K235" s="123"/>
      <c r="L235" s="1"/>
      <c r="M235" s="12"/>
      <c r="N235" s="1"/>
      <c r="O235" s="1"/>
      <c r="P235" s="1"/>
      <c r="Q235" s="1"/>
      <c r="R235" s="1"/>
      <c r="S235" s="1"/>
      <c r="T235" s="1"/>
      <c r="U235" s="1"/>
      <c r="V235" s="1"/>
      <c r="W235" s="1"/>
      <c r="X235" s="1"/>
      <c r="Y235" s="1"/>
      <c r="Z235" s="1"/>
      <c r="AA235" s="1"/>
      <c r="AB235" s="1"/>
      <c r="AC235" s="1"/>
      <c r="AD235" s="1"/>
    </row>
    <row r="236" spans="1:30" s="2" customFormat="1" hidden="1" x14ac:dyDescent="0.2">
      <c r="A236" s="155"/>
      <c r="B236" s="147"/>
      <c r="C236" s="147"/>
      <c r="D236" s="147"/>
      <c r="E236" s="147"/>
      <c r="F236" s="147"/>
      <c r="G236" s="147"/>
      <c r="H236" s="123"/>
      <c r="I236" s="123"/>
      <c r="J236" s="123"/>
      <c r="K236" s="123"/>
      <c r="L236" s="1"/>
      <c r="M236" s="12"/>
      <c r="N236" s="1"/>
      <c r="O236" s="1"/>
      <c r="P236" s="1"/>
      <c r="Q236" s="1"/>
      <c r="R236" s="1"/>
      <c r="S236" s="1"/>
      <c r="T236" s="1"/>
      <c r="U236" s="1"/>
      <c r="V236" s="1"/>
      <c r="W236" s="1"/>
      <c r="X236" s="1"/>
      <c r="Y236" s="1"/>
      <c r="Z236" s="1"/>
      <c r="AA236" s="1"/>
      <c r="AB236" s="1"/>
      <c r="AC236" s="1"/>
      <c r="AD236" s="1"/>
    </row>
    <row r="237" spans="1:30" s="2" customFormat="1" hidden="1" x14ac:dyDescent="0.2">
      <c r="A237" s="121" t="str">
        <f>"Additional " &amp;fuel_type1&amp; " [t/year]"</f>
        <v>Additional  [t/year]</v>
      </c>
      <c r="B237" s="147">
        <f t="shared" ref="B237:G237" si="26">B$235*(B$233=fuel_type1)</f>
        <v>0</v>
      </c>
      <c r="C237" s="147">
        <f t="shared" si="26"/>
        <v>0</v>
      </c>
      <c r="D237" s="147">
        <f t="shared" si="26"/>
        <v>0</v>
      </c>
      <c r="E237" s="147">
        <f t="shared" si="26"/>
        <v>0</v>
      </c>
      <c r="F237" s="147">
        <f t="shared" si="26"/>
        <v>0</v>
      </c>
      <c r="G237" s="147">
        <f t="shared" si="26"/>
        <v>0</v>
      </c>
      <c r="H237" s="123"/>
      <c r="I237" s="123"/>
      <c r="J237" s="123"/>
      <c r="K237" s="123"/>
      <c r="L237" s="1"/>
      <c r="M237" s="12"/>
      <c r="N237" s="1"/>
      <c r="O237" s="1"/>
      <c r="P237" s="1"/>
      <c r="Q237" s="1"/>
      <c r="R237" s="1"/>
      <c r="S237" s="1"/>
      <c r="T237" s="1"/>
      <c r="U237" s="1"/>
      <c r="V237" s="1"/>
      <c r="W237" s="1"/>
      <c r="X237" s="1"/>
      <c r="Y237" s="1"/>
      <c r="Z237" s="1"/>
      <c r="AA237" s="1"/>
      <c r="AB237" s="1"/>
      <c r="AC237" s="1"/>
      <c r="AD237" s="1"/>
    </row>
    <row r="238" spans="1:30" s="2" customFormat="1" hidden="1" x14ac:dyDescent="0.2">
      <c r="A238" s="121" t="str">
        <f>"Additional " &amp;fuel_type2&amp; " [t/year]"</f>
        <v>Additional  [t/year]</v>
      </c>
      <c r="B238" s="147">
        <f t="shared" ref="B238:G238" si="27">B$235*(B$233=fuel_type2)</f>
        <v>0</v>
      </c>
      <c r="C238" s="147">
        <f t="shared" si="27"/>
        <v>0</v>
      </c>
      <c r="D238" s="147">
        <f t="shared" si="27"/>
        <v>0</v>
      </c>
      <c r="E238" s="147">
        <f t="shared" si="27"/>
        <v>0</v>
      </c>
      <c r="F238" s="147">
        <f t="shared" si="27"/>
        <v>0</v>
      </c>
      <c r="G238" s="147">
        <f t="shared" si="27"/>
        <v>0</v>
      </c>
      <c r="H238" s="123"/>
      <c r="I238" s="123"/>
      <c r="J238" s="123"/>
      <c r="K238" s="123"/>
      <c r="L238" s="1"/>
      <c r="M238" s="12"/>
      <c r="N238" s="1"/>
      <c r="O238" s="1"/>
      <c r="P238" s="1"/>
      <c r="Q238" s="1"/>
      <c r="R238" s="1"/>
      <c r="S238" s="1"/>
      <c r="T238" s="1"/>
      <c r="U238" s="1"/>
      <c r="V238" s="1"/>
      <c r="W238" s="1"/>
      <c r="X238" s="1"/>
      <c r="Y238" s="1"/>
      <c r="Z238" s="1"/>
      <c r="AA238" s="1"/>
      <c r="AB238" s="1"/>
      <c r="AC238" s="1"/>
      <c r="AD238" s="1"/>
    </row>
    <row r="239" spans="1:30" s="2" customFormat="1" hidden="1" x14ac:dyDescent="0.2">
      <c r="A239" s="121" t="str">
        <f>"Additional " &amp;fuel_type3&amp; " [t/year]"</f>
        <v>Additional  [t/year]</v>
      </c>
      <c r="B239" s="147">
        <f t="shared" ref="B239:G239" si="28">B$235*(B$233=fuel_type3)</f>
        <v>0</v>
      </c>
      <c r="C239" s="147">
        <f t="shared" si="28"/>
        <v>0</v>
      </c>
      <c r="D239" s="147">
        <f t="shared" si="28"/>
        <v>0</v>
      </c>
      <c r="E239" s="147">
        <f t="shared" si="28"/>
        <v>0</v>
      </c>
      <c r="F239" s="147">
        <f t="shared" si="28"/>
        <v>0</v>
      </c>
      <c r="G239" s="147">
        <f t="shared" si="28"/>
        <v>0</v>
      </c>
      <c r="H239" s="123"/>
      <c r="I239" s="123"/>
      <c r="J239" s="123"/>
      <c r="K239" s="123"/>
      <c r="L239" s="1"/>
      <c r="M239" s="12"/>
      <c r="N239" s="1"/>
      <c r="O239" s="1"/>
      <c r="P239" s="1"/>
      <c r="Q239" s="1"/>
      <c r="R239" s="1"/>
      <c r="S239" s="1"/>
      <c r="T239" s="1"/>
      <c r="U239" s="1"/>
      <c r="V239" s="1"/>
      <c r="W239" s="1"/>
      <c r="X239" s="1"/>
      <c r="Y239" s="1"/>
      <c r="Z239" s="1"/>
      <c r="AA239" s="1"/>
      <c r="AB239" s="1"/>
      <c r="AC239" s="1"/>
      <c r="AD239" s="1"/>
    </row>
    <row r="240" spans="1:30" s="2" customFormat="1" hidden="1" x14ac:dyDescent="0.2">
      <c r="A240" s="121" t="str">
        <f>"Additional " &amp;fuel_type4&amp; " [t/year]"</f>
        <v>Additional  [t/year]</v>
      </c>
      <c r="B240" s="147">
        <f t="shared" ref="B240:G240" si="29">B$235*(B$233=fuel_type4)</f>
        <v>0</v>
      </c>
      <c r="C240" s="147">
        <f t="shared" si="29"/>
        <v>0</v>
      </c>
      <c r="D240" s="147">
        <f t="shared" si="29"/>
        <v>0</v>
      </c>
      <c r="E240" s="147">
        <f t="shared" si="29"/>
        <v>0</v>
      </c>
      <c r="F240" s="147">
        <f t="shared" si="29"/>
        <v>0</v>
      </c>
      <c r="G240" s="147">
        <f t="shared" si="29"/>
        <v>0</v>
      </c>
      <c r="H240" s="123"/>
      <c r="I240" s="123"/>
      <c r="J240" s="123"/>
      <c r="K240" s="123"/>
      <c r="L240" s="1"/>
      <c r="M240" s="12"/>
      <c r="N240" s="1"/>
      <c r="O240" s="1"/>
      <c r="P240" s="1"/>
      <c r="Q240" s="1"/>
      <c r="R240" s="1"/>
      <c r="S240" s="1"/>
      <c r="T240" s="1"/>
      <c r="U240" s="1"/>
      <c r="V240" s="1"/>
      <c r="W240" s="1"/>
      <c r="X240" s="1"/>
      <c r="Y240" s="1"/>
      <c r="Z240" s="1"/>
      <c r="AA240" s="1"/>
      <c r="AB240" s="1"/>
      <c r="AC240" s="1"/>
      <c r="AD240" s="1"/>
    </row>
    <row r="241" spans="1:30" s="2" customFormat="1" x14ac:dyDescent="0.2">
      <c r="A241" s="155"/>
      <c r="B241" s="123"/>
      <c r="C241" s="123"/>
      <c r="D241" s="123"/>
      <c r="E241" s="123"/>
      <c r="F241" s="123"/>
      <c r="G241" s="123"/>
      <c r="H241" s="123"/>
      <c r="I241" s="123"/>
      <c r="J241" s="123"/>
      <c r="K241" s="123"/>
      <c r="L241" s="1"/>
      <c r="M241" s="12"/>
      <c r="N241" s="1"/>
      <c r="O241" s="1"/>
      <c r="P241" s="1"/>
      <c r="Q241" s="1"/>
      <c r="R241" s="1"/>
      <c r="S241" s="1"/>
      <c r="T241" s="1"/>
      <c r="U241" s="1"/>
      <c r="V241" s="1"/>
      <c r="W241" s="1"/>
      <c r="X241" s="1"/>
      <c r="Y241" s="1"/>
      <c r="Z241" s="1"/>
      <c r="AA241" s="1"/>
      <c r="AB241" s="1"/>
      <c r="AC241" s="1"/>
      <c r="AD241" s="1"/>
    </row>
    <row r="242" spans="1:30" s="2" customFormat="1" x14ac:dyDescent="0.2">
      <c r="A242" s="155" t="s">
        <v>208</v>
      </c>
      <c r="B242" s="171" t="str">
        <f>IF(ship1="","",(B$219*10^6)/(B$69*B$211+B94*B$212+B119*B$213+B$141*B$214))</f>
        <v/>
      </c>
      <c r="C242" s="171" t="str">
        <f>IF(ship2="","",(C$219*10^6)/(C$69*C$211+C94*C$212+C119*C$213+C$141*C$214))</f>
        <v/>
      </c>
      <c r="D242" s="171" t="str">
        <f>IF(ship3="","",(D$219*10^6)/(D$69*D$211+D94*D$212+D119*D$213+D$141*D$214))</f>
        <v/>
      </c>
      <c r="E242" s="171" t="str">
        <f>IF(ship4="","",(E$219*10^6)/(E$69*E$211+E94*E$212+E119*E$213+E$141*E$214))</f>
        <v/>
      </c>
      <c r="F242" s="171" t="str">
        <f>IF(ship5="","",(F$219*10^6)/(F$69*F$211+F94*F$212+F119*F$213+F$141*F$214))</f>
        <v/>
      </c>
      <c r="G242" s="171" t="str">
        <f>IF(ship6="","",(G$219*10^6)/(G$69*G$211+G94*G$212+G119*G$213+G$141*G$214))</f>
        <v/>
      </c>
      <c r="H242" s="123"/>
      <c r="I242" s="123"/>
      <c r="J242" s="123"/>
      <c r="K242" s="123"/>
      <c r="L242" s="1"/>
      <c r="M242" s="13"/>
      <c r="N242" s="13"/>
      <c r="O242" s="13"/>
      <c r="P242" s="13"/>
      <c r="Q242" s="13"/>
      <c r="R242" s="13"/>
      <c r="S242" s="1"/>
      <c r="T242" s="1"/>
      <c r="U242" s="1"/>
      <c r="V242" s="1"/>
      <c r="W242" s="1"/>
      <c r="X242" s="1"/>
      <c r="Y242" s="1"/>
      <c r="Z242" s="1"/>
      <c r="AA242" s="1"/>
      <c r="AB242" s="1"/>
      <c r="AC242" s="1"/>
      <c r="AD242" s="1"/>
    </row>
    <row r="243" spans="1:30" s="2" customFormat="1" x14ac:dyDescent="0.2">
      <c r="A243" s="155" t="s">
        <v>37</v>
      </c>
      <c r="B243" s="147" t="str">
        <f>IF(ship1="","",ship1)</f>
        <v/>
      </c>
      <c r="C243" s="147" t="str">
        <f>IF(ship2="","",ship2)</f>
        <v/>
      </c>
      <c r="D243" s="147" t="str">
        <f>IF(ship3="","",ship3)</f>
        <v/>
      </c>
      <c r="E243" s="147" t="str">
        <f>IF(ship4="","",ship4)</f>
        <v/>
      </c>
      <c r="F243" s="147" t="str">
        <f>IF(ship5="","",ship5)</f>
        <v/>
      </c>
      <c r="G243" s="147" t="str">
        <f>IF(ship6="","",ship6)</f>
        <v/>
      </c>
      <c r="H243" s="123"/>
      <c r="I243" s="123"/>
      <c r="J243" s="123"/>
      <c r="K243" s="123"/>
      <c r="L243" s="1"/>
      <c r="M243" s="13"/>
      <c r="N243" s="13"/>
      <c r="O243" s="13"/>
      <c r="P243" s="13"/>
      <c r="Q243" s="13"/>
      <c r="R243" s="13"/>
      <c r="S243" s="1"/>
      <c r="T243" s="1"/>
      <c r="U243" s="1"/>
      <c r="V243" s="1"/>
      <c r="W243" s="1"/>
      <c r="X243" s="1"/>
      <c r="Y243" s="1"/>
      <c r="Z243" s="1"/>
      <c r="AA243" s="1"/>
      <c r="AB243" s="1"/>
      <c r="AC243" s="1"/>
      <c r="AD243" s="1"/>
    </row>
    <row r="244" spans="1:30" s="2" customFormat="1" x14ac:dyDescent="0.2">
      <c r="A244" s="155" t="s">
        <v>43</v>
      </c>
      <c r="B244" s="183"/>
      <c r="C244" s="182"/>
      <c r="D244" s="182"/>
      <c r="E244" s="182"/>
      <c r="F244" s="182"/>
      <c r="G244" s="182"/>
      <c r="H244" s="123"/>
      <c r="I244" s="123"/>
      <c r="J244" s="123"/>
      <c r="K244" s="123"/>
      <c r="L244" s="1"/>
      <c r="M244" s="13"/>
      <c r="N244" s="13"/>
      <c r="O244" s="13"/>
      <c r="P244" s="13"/>
      <c r="Q244" s="13"/>
      <c r="R244" s="13"/>
      <c r="S244" s="1"/>
      <c r="T244" s="1"/>
      <c r="U244" s="1"/>
      <c r="V244" s="1"/>
      <c r="W244" s="1"/>
      <c r="X244" s="1"/>
      <c r="Y244" s="1"/>
      <c r="Z244" s="1"/>
      <c r="AA244" s="1"/>
      <c r="AB244" s="1"/>
      <c r="AC244" s="1"/>
      <c r="AD244" s="1"/>
    </row>
    <row r="245" spans="1:30" s="2" customFormat="1" x14ac:dyDescent="0.2">
      <c r="A245" s="155" t="s">
        <v>44</v>
      </c>
      <c r="B245" s="183"/>
      <c r="C245" s="182"/>
      <c r="D245" s="182"/>
      <c r="E245" s="182"/>
      <c r="F245" s="182"/>
      <c r="G245" s="182"/>
      <c r="H245" s="123"/>
      <c r="I245" s="123"/>
      <c r="J245" s="123"/>
      <c r="K245" s="123"/>
      <c r="L245" s="1"/>
      <c r="M245" s="13"/>
      <c r="N245" s="13"/>
      <c r="O245" s="13"/>
      <c r="P245" s="13"/>
      <c r="Q245" s="13"/>
      <c r="R245" s="13"/>
      <c r="S245" s="1"/>
      <c r="T245" s="1"/>
      <c r="U245" s="1"/>
      <c r="V245" s="1"/>
      <c r="W245" s="1"/>
      <c r="X245" s="1"/>
      <c r="Y245" s="1"/>
      <c r="Z245" s="1"/>
      <c r="AA245" s="1"/>
      <c r="AB245" s="1"/>
      <c r="AC245" s="1"/>
      <c r="AD245" s="1"/>
    </row>
    <row r="246" spans="1:30" s="2" customFormat="1" x14ac:dyDescent="0.2">
      <c r="A246" s="155" t="s">
        <v>45</v>
      </c>
      <c r="B246" s="183"/>
      <c r="C246" s="182"/>
      <c r="D246" s="182"/>
      <c r="E246" s="182"/>
      <c r="F246" s="182"/>
      <c r="G246" s="182"/>
      <c r="H246" s="123"/>
      <c r="I246" s="123"/>
      <c r="J246" s="123"/>
      <c r="K246" s="123"/>
      <c r="L246" s="1"/>
      <c r="M246" s="13"/>
      <c r="N246" s="13"/>
      <c r="O246" s="13"/>
      <c r="P246" s="13"/>
      <c r="Q246" s="13"/>
      <c r="R246" s="13"/>
      <c r="S246" s="1"/>
      <c r="T246" s="1"/>
      <c r="U246" s="1"/>
      <c r="V246" s="1"/>
      <c r="W246" s="1"/>
      <c r="X246" s="1"/>
      <c r="Y246" s="1"/>
      <c r="Z246" s="1"/>
      <c r="AA246" s="1"/>
      <c r="AB246" s="1"/>
      <c r="AC246" s="1"/>
      <c r="AD246" s="1"/>
    </row>
    <row r="247" spans="1:30" s="2" customFormat="1" x14ac:dyDescent="0.2">
      <c r="A247" s="121"/>
      <c r="B247" s="129"/>
      <c r="C247" s="129"/>
      <c r="D247" s="129"/>
      <c r="E247" s="129"/>
      <c r="F247" s="129"/>
      <c r="G247" s="129"/>
      <c r="H247" s="123"/>
      <c r="I247" s="123"/>
      <c r="J247" s="123"/>
      <c r="K247" s="123"/>
      <c r="L247" s="1"/>
      <c r="M247" s="1"/>
      <c r="N247" s="1"/>
      <c r="O247" s="1"/>
      <c r="P247" s="1"/>
      <c r="Q247" s="1"/>
      <c r="R247" s="1"/>
      <c r="S247" s="1"/>
      <c r="T247" s="1"/>
      <c r="U247" s="1"/>
      <c r="V247" s="1"/>
      <c r="W247" s="1"/>
      <c r="X247" s="1"/>
      <c r="Y247" s="1"/>
      <c r="Z247" s="1"/>
      <c r="AA247" s="1"/>
      <c r="AB247" s="1"/>
      <c r="AC247" s="1"/>
      <c r="AD247" s="1"/>
    </row>
    <row r="248" spans="1:30" s="2" customFormat="1" x14ac:dyDescent="0.2">
      <c r="A248" s="153" t="s">
        <v>148</v>
      </c>
      <c r="B248" s="129"/>
      <c r="C248" s="129"/>
      <c r="D248" s="129"/>
      <c r="E248" s="129"/>
      <c r="F248" s="129"/>
      <c r="G248" s="129"/>
      <c r="H248" s="123"/>
      <c r="I248" s="123"/>
      <c r="J248" s="123"/>
      <c r="K248" s="123"/>
      <c r="L248" s="1"/>
      <c r="M248" s="1"/>
      <c r="N248" s="1"/>
      <c r="O248" s="1"/>
      <c r="P248" s="1"/>
      <c r="Q248" s="1"/>
      <c r="R248" s="1"/>
      <c r="S248" s="1"/>
      <c r="T248" s="1"/>
      <c r="U248" s="1"/>
      <c r="V248" s="1"/>
      <c r="W248" s="1"/>
      <c r="X248" s="1"/>
      <c r="Y248" s="1"/>
      <c r="Z248" s="1"/>
      <c r="AA248" s="1"/>
      <c r="AB248" s="1"/>
      <c r="AC248" s="1"/>
      <c r="AD248" s="1"/>
    </row>
    <row r="249" spans="1:30" s="2" customFormat="1" x14ac:dyDescent="0.2">
      <c r="A249" s="128" t="s">
        <v>180</v>
      </c>
      <c r="B249" s="129"/>
      <c r="C249" s="129"/>
      <c r="D249" s="129"/>
      <c r="E249" s="129"/>
      <c r="F249" s="129"/>
      <c r="G249" s="129"/>
      <c r="H249" s="123"/>
      <c r="I249" s="123"/>
      <c r="J249" s="123"/>
      <c r="K249" s="123"/>
      <c r="L249" s="1"/>
      <c r="M249" s="1"/>
      <c r="N249" s="1"/>
      <c r="O249" s="1"/>
      <c r="P249" s="1"/>
      <c r="Q249" s="1"/>
      <c r="R249" s="1"/>
      <c r="S249" s="1"/>
      <c r="T249" s="1"/>
      <c r="U249" s="1"/>
      <c r="V249" s="1"/>
      <c r="W249" s="1"/>
      <c r="X249" s="1"/>
      <c r="Y249" s="1"/>
      <c r="Z249" s="1"/>
      <c r="AA249" s="1"/>
      <c r="AB249" s="1"/>
      <c r="AC249" s="1"/>
      <c r="AD249" s="1"/>
    </row>
    <row r="250" spans="1:30" s="2" customFormat="1" x14ac:dyDescent="0.2">
      <c r="A250" s="128" t="s">
        <v>192</v>
      </c>
      <c r="B250" s="129"/>
      <c r="C250" s="129"/>
      <c r="D250" s="129"/>
      <c r="E250" s="129"/>
      <c r="F250" s="129"/>
      <c r="G250" s="129"/>
      <c r="H250" s="123"/>
      <c r="I250" s="123"/>
      <c r="J250" s="123"/>
      <c r="K250" s="123"/>
      <c r="L250" s="1"/>
      <c r="M250" s="1"/>
      <c r="N250" s="1"/>
      <c r="O250" s="1"/>
      <c r="P250" s="1"/>
      <c r="Q250" s="1"/>
      <c r="R250" s="1"/>
      <c r="S250" s="1"/>
      <c r="T250" s="1"/>
      <c r="U250" s="1"/>
      <c r="V250" s="1"/>
      <c r="W250" s="1"/>
      <c r="X250" s="1"/>
      <c r="Y250" s="1"/>
      <c r="Z250" s="1"/>
      <c r="AA250" s="1"/>
      <c r="AB250" s="1"/>
      <c r="AC250" s="1"/>
      <c r="AD250" s="1"/>
    </row>
    <row r="251" spans="1:30" s="2" customFormat="1" x14ac:dyDescent="0.2">
      <c r="A251" s="128" t="s">
        <v>195</v>
      </c>
      <c r="B251" s="129"/>
      <c r="C251" s="129"/>
      <c r="D251" s="129"/>
      <c r="E251" s="129"/>
      <c r="F251" s="129"/>
      <c r="G251" s="129"/>
      <c r="H251" s="123"/>
      <c r="I251" s="123"/>
      <c r="J251" s="123"/>
      <c r="K251" s="123"/>
      <c r="L251" s="1"/>
      <c r="M251" s="1"/>
      <c r="N251" s="1"/>
      <c r="O251" s="1"/>
      <c r="P251" s="1"/>
      <c r="Q251" s="1"/>
      <c r="R251" s="1"/>
      <c r="S251" s="1"/>
      <c r="T251" s="1"/>
      <c r="U251" s="1"/>
      <c r="V251" s="1"/>
      <c r="W251" s="1"/>
      <c r="X251" s="1"/>
      <c r="Y251" s="1"/>
      <c r="Z251" s="1"/>
      <c r="AA251" s="1"/>
      <c r="AB251" s="1"/>
      <c r="AC251" s="1"/>
      <c r="AD251" s="1"/>
    </row>
    <row r="252" spans="1:30" s="2" customFormat="1" x14ac:dyDescent="0.2">
      <c r="A252" s="128" t="s">
        <v>46</v>
      </c>
      <c r="B252" s="129"/>
      <c r="C252" s="129"/>
      <c r="D252" s="129"/>
      <c r="E252" s="129"/>
      <c r="F252" s="129"/>
      <c r="G252" s="129"/>
      <c r="H252" s="123"/>
      <c r="I252" s="123"/>
      <c r="J252" s="123"/>
      <c r="K252" s="123"/>
      <c r="L252" s="1"/>
      <c r="M252" s="1"/>
      <c r="N252" s="1"/>
      <c r="O252" s="1"/>
      <c r="P252" s="1"/>
      <c r="Q252" s="1"/>
      <c r="R252" s="1"/>
      <c r="S252" s="1"/>
      <c r="T252" s="1"/>
      <c r="U252" s="1"/>
      <c r="V252" s="1"/>
      <c r="W252" s="1"/>
      <c r="X252" s="1"/>
      <c r="Y252" s="1"/>
      <c r="Z252" s="1"/>
      <c r="AA252" s="1"/>
      <c r="AB252" s="1"/>
      <c r="AC252" s="1"/>
      <c r="AD252" s="1"/>
    </row>
    <row r="253" spans="1:30" s="2" customFormat="1" x14ac:dyDescent="0.2">
      <c r="A253" s="128" t="s">
        <v>153</v>
      </c>
      <c r="B253" s="129"/>
      <c r="C253" s="129"/>
      <c r="D253" s="129"/>
      <c r="E253" s="129"/>
      <c r="F253" s="129"/>
      <c r="G253" s="129"/>
      <c r="H253" s="123"/>
      <c r="I253" s="123"/>
      <c r="J253" s="123"/>
      <c r="K253" s="123"/>
      <c r="L253" s="1"/>
      <c r="M253" s="1"/>
      <c r="N253" s="1"/>
      <c r="O253" s="1"/>
      <c r="P253" s="1"/>
      <c r="Q253" s="1"/>
      <c r="R253" s="1"/>
      <c r="S253" s="1"/>
      <c r="T253" s="1"/>
      <c r="U253" s="1"/>
      <c r="V253" s="1"/>
      <c r="W253" s="1"/>
      <c r="X253" s="1"/>
      <c r="Y253" s="1"/>
      <c r="Z253" s="1"/>
      <c r="AA253" s="1"/>
      <c r="AB253" s="1"/>
      <c r="AC253" s="1"/>
      <c r="AD253" s="1"/>
    </row>
    <row r="254" spans="1:30" s="2" customFormat="1" x14ac:dyDescent="0.2">
      <c r="A254" s="128" t="s">
        <v>150</v>
      </c>
      <c r="B254" s="129"/>
      <c r="C254" s="129"/>
      <c r="D254" s="129"/>
      <c r="E254" s="129"/>
      <c r="F254" s="129"/>
      <c r="G254" s="129"/>
      <c r="H254" s="123"/>
      <c r="I254" s="123"/>
      <c r="J254" s="123"/>
      <c r="K254" s="123"/>
      <c r="L254" s="1"/>
      <c r="M254" s="1"/>
      <c r="N254" s="1"/>
      <c r="O254" s="1"/>
      <c r="P254" s="1"/>
      <c r="Q254" s="1"/>
      <c r="R254" s="1"/>
      <c r="S254" s="1"/>
      <c r="T254" s="1"/>
      <c r="U254" s="1"/>
      <c r="V254" s="1"/>
      <c r="W254" s="1"/>
      <c r="X254" s="1"/>
      <c r="Y254" s="1"/>
      <c r="Z254" s="1"/>
      <c r="AA254" s="1"/>
      <c r="AB254" s="1"/>
      <c r="AC254" s="1"/>
      <c r="AD254" s="1"/>
    </row>
    <row r="255" spans="1:30" s="2" customFormat="1" x14ac:dyDescent="0.2">
      <c r="A255" s="128" t="s">
        <v>151</v>
      </c>
      <c r="B255" s="129"/>
      <c r="C255" s="129"/>
      <c r="D255" s="129"/>
      <c r="E255" s="129"/>
      <c r="F255" s="129"/>
      <c r="G255" s="129"/>
      <c r="H255" s="123"/>
      <c r="I255" s="123"/>
      <c r="J255" s="123"/>
      <c r="K255" s="123"/>
      <c r="L255" s="1"/>
      <c r="M255" s="1"/>
      <c r="N255" s="1"/>
      <c r="O255" s="1"/>
      <c r="P255" s="1"/>
      <c r="Q255" s="1"/>
      <c r="R255" s="1"/>
      <c r="S255" s="1"/>
      <c r="T255" s="1"/>
      <c r="U255" s="1"/>
      <c r="V255" s="1"/>
      <c r="W255" s="1"/>
      <c r="X255" s="1"/>
      <c r="Y255" s="1"/>
      <c r="Z255" s="1"/>
      <c r="AA255" s="1"/>
      <c r="AB255" s="1"/>
      <c r="AC255" s="1"/>
      <c r="AD255" s="1"/>
    </row>
    <row r="256" spans="1:30" s="2" customFormat="1" x14ac:dyDescent="0.2">
      <c r="A256" s="128" t="s">
        <v>152</v>
      </c>
      <c r="B256" s="129"/>
      <c r="C256" s="129"/>
      <c r="D256" s="129"/>
      <c r="E256" s="129"/>
      <c r="F256" s="129"/>
      <c r="G256" s="129"/>
      <c r="H256" s="123"/>
      <c r="I256" s="123"/>
      <c r="J256" s="123"/>
      <c r="K256" s="123"/>
      <c r="L256" s="1"/>
      <c r="M256" s="1"/>
      <c r="N256" s="1"/>
      <c r="O256" s="1"/>
      <c r="P256" s="1"/>
      <c r="Q256" s="1"/>
      <c r="R256" s="1"/>
      <c r="S256" s="1"/>
      <c r="T256" s="1"/>
      <c r="U256" s="1"/>
      <c r="V256" s="1"/>
      <c r="W256" s="1"/>
      <c r="X256" s="1"/>
      <c r="Y256" s="1"/>
      <c r="Z256" s="1"/>
      <c r="AA256" s="1"/>
      <c r="AB256" s="1"/>
      <c r="AC256" s="1"/>
      <c r="AD256" s="1"/>
    </row>
    <row r="257" spans="1:30" s="2" customFormat="1" ht="13.5" customHeight="1" x14ac:dyDescent="0.2">
      <c r="A257" s="155"/>
      <c r="B257" s="121"/>
      <c r="C257" s="121"/>
      <c r="D257" s="122"/>
      <c r="E257" s="122"/>
      <c r="F257" s="122"/>
      <c r="G257" s="122"/>
      <c r="H257" s="123"/>
      <c r="I257" s="123"/>
      <c r="J257" s="123"/>
      <c r="K257" s="123"/>
      <c r="L257" s="1"/>
      <c r="M257" s="1"/>
      <c r="N257" s="1"/>
      <c r="O257" s="1"/>
      <c r="P257" s="1"/>
      <c r="Q257" s="1"/>
      <c r="R257" s="1"/>
      <c r="S257" s="1"/>
      <c r="T257" s="1"/>
      <c r="U257" s="1"/>
      <c r="V257" s="1"/>
      <c r="W257" s="1"/>
      <c r="X257" s="1"/>
      <c r="Y257" s="1"/>
      <c r="Z257" s="1"/>
      <c r="AA257" s="1"/>
      <c r="AB257" s="1"/>
      <c r="AC257" s="1"/>
      <c r="AD257" s="1"/>
    </row>
    <row r="258" spans="1:30" s="2" customFormat="1" ht="20.25" x14ac:dyDescent="0.3">
      <c r="A258" s="127" t="s">
        <v>153</v>
      </c>
      <c r="B258" s="121"/>
      <c r="C258" s="121"/>
      <c r="D258" s="122"/>
      <c r="E258" s="122"/>
      <c r="F258" s="122"/>
      <c r="G258" s="122"/>
      <c r="H258" s="123"/>
      <c r="I258" s="123"/>
      <c r="J258" s="123"/>
      <c r="K258" s="123"/>
      <c r="L258" s="1"/>
      <c r="M258" s="1"/>
      <c r="N258" s="1"/>
      <c r="O258" s="1"/>
      <c r="P258" s="1"/>
      <c r="Q258" s="1"/>
      <c r="R258" s="1"/>
      <c r="S258" s="1"/>
      <c r="T258" s="1"/>
      <c r="U258" s="1"/>
      <c r="V258" s="1"/>
      <c r="W258" s="1"/>
      <c r="X258" s="1"/>
      <c r="Y258" s="1"/>
      <c r="Z258" s="1"/>
      <c r="AA258" s="1"/>
      <c r="AB258" s="1"/>
      <c r="AC258" s="1"/>
      <c r="AD258" s="1"/>
    </row>
    <row r="259" spans="1:30" s="2" customFormat="1" x14ac:dyDescent="0.2">
      <c r="A259" s="134" t="s">
        <v>149</v>
      </c>
      <c r="B259" s="121"/>
      <c r="C259" s="121"/>
      <c r="D259" s="122"/>
      <c r="E259" s="122"/>
      <c r="F259" s="122"/>
      <c r="G259" s="122"/>
      <c r="H259" s="123"/>
      <c r="I259" s="123"/>
      <c r="J259" s="123"/>
      <c r="K259" s="123"/>
      <c r="L259" s="1"/>
      <c r="M259" s="14"/>
      <c r="N259" s="1"/>
      <c r="O259" s="1"/>
      <c r="P259" s="1"/>
      <c r="Q259" s="1"/>
      <c r="R259" s="1"/>
      <c r="S259" s="1"/>
      <c r="T259" s="1"/>
      <c r="U259" s="1"/>
      <c r="V259" s="1"/>
      <c r="W259" s="1"/>
      <c r="X259" s="1"/>
      <c r="Y259" s="1"/>
      <c r="Z259" s="1"/>
      <c r="AA259" s="1"/>
      <c r="AB259" s="1"/>
      <c r="AC259" s="1"/>
      <c r="AD259" s="1"/>
    </row>
    <row r="260" spans="1:30" s="2" customFormat="1" x14ac:dyDescent="0.2">
      <c r="A260" s="172"/>
      <c r="B260" s="121"/>
      <c r="C260" s="121"/>
      <c r="D260" s="122"/>
      <c r="E260" s="122"/>
      <c r="F260" s="122"/>
      <c r="G260" s="122"/>
      <c r="H260" s="123"/>
      <c r="I260" s="123"/>
      <c r="J260" s="123"/>
      <c r="K260" s="123"/>
      <c r="L260" s="1"/>
      <c r="M260" s="14"/>
      <c r="N260" s="1"/>
      <c r="O260" s="1"/>
      <c r="P260" s="1"/>
      <c r="Q260" s="1"/>
      <c r="R260" s="1"/>
      <c r="S260" s="1"/>
      <c r="T260" s="1"/>
      <c r="U260" s="1"/>
      <c r="V260" s="1"/>
      <c r="W260" s="1"/>
      <c r="X260" s="1"/>
      <c r="Y260" s="1"/>
      <c r="Z260" s="1"/>
      <c r="AA260" s="1"/>
      <c r="AB260" s="1"/>
      <c r="AC260" s="1"/>
      <c r="AD260" s="1"/>
    </row>
    <row r="261" spans="1:30" s="2" customFormat="1" x14ac:dyDescent="0.2">
      <c r="A261" s="134" t="s">
        <v>53</v>
      </c>
      <c r="B261" s="185"/>
      <c r="C261" s="121"/>
      <c r="D261" s="122"/>
      <c r="E261" s="122"/>
      <c r="F261" s="122"/>
      <c r="G261" s="122"/>
      <c r="H261" s="123"/>
      <c r="I261" s="123"/>
      <c r="J261" s="123"/>
      <c r="K261" s="123"/>
      <c r="L261" s="1"/>
      <c r="M261" s="14"/>
      <c r="N261" s="1"/>
      <c r="O261" s="1"/>
      <c r="P261" s="1"/>
      <c r="Q261" s="1"/>
      <c r="R261" s="1"/>
      <c r="S261" s="1"/>
      <c r="T261" s="1"/>
      <c r="U261" s="1"/>
      <c r="V261" s="1"/>
      <c r="W261" s="1"/>
      <c r="X261" s="1"/>
      <c r="Y261" s="1"/>
      <c r="Z261" s="1"/>
      <c r="AA261" s="1"/>
      <c r="AB261" s="1"/>
      <c r="AC261" s="1"/>
      <c r="AD261" s="1"/>
    </row>
    <row r="262" spans="1:30" s="2" customFormat="1" ht="13.5" customHeight="1" x14ac:dyDescent="0.2">
      <c r="A262" s="155" t="s">
        <v>32</v>
      </c>
      <c r="B262" s="185"/>
      <c r="C262" s="121"/>
      <c r="D262" s="122"/>
      <c r="E262" s="122"/>
      <c r="F262" s="122"/>
      <c r="G262" s="122"/>
      <c r="H262" s="123"/>
      <c r="I262" s="123"/>
      <c r="J262" s="123"/>
      <c r="K262" s="123"/>
      <c r="L262" s="1"/>
      <c r="M262" s="1"/>
      <c r="N262" s="1"/>
      <c r="O262" s="1"/>
      <c r="P262" s="1"/>
      <c r="Q262" s="1"/>
      <c r="R262" s="1"/>
      <c r="S262" s="1"/>
      <c r="T262" s="1"/>
      <c r="U262" s="1"/>
      <c r="V262" s="1"/>
      <c r="W262" s="1"/>
      <c r="X262" s="1"/>
      <c r="Y262" s="1"/>
      <c r="Z262" s="1"/>
      <c r="AA262" s="1"/>
      <c r="AB262" s="1"/>
      <c r="AC262" s="1"/>
      <c r="AD262" s="1"/>
    </row>
    <row r="263" spans="1:30" s="2" customFormat="1" x14ac:dyDescent="0.2">
      <c r="A263" s="121"/>
      <c r="B263" s="129"/>
      <c r="C263" s="129"/>
      <c r="D263" s="129"/>
      <c r="E263" s="129"/>
      <c r="F263" s="129"/>
      <c r="G263" s="129"/>
      <c r="H263" s="123"/>
      <c r="I263" s="123"/>
      <c r="J263" s="123"/>
      <c r="K263" s="123"/>
      <c r="L263" s="1"/>
      <c r="M263" s="1"/>
      <c r="N263" s="1"/>
      <c r="O263" s="1"/>
      <c r="P263" s="1"/>
      <c r="Q263" s="1"/>
      <c r="R263" s="1"/>
      <c r="S263" s="1"/>
      <c r="T263" s="1"/>
      <c r="U263" s="1"/>
      <c r="V263" s="1"/>
      <c r="W263" s="1"/>
      <c r="X263" s="1"/>
      <c r="Y263" s="1"/>
      <c r="Z263" s="1"/>
      <c r="AA263" s="1"/>
      <c r="AB263" s="1"/>
      <c r="AC263" s="1"/>
      <c r="AD263" s="1"/>
    </row>
    <row r="264" spans="1:30" s="2" customFormat="1" x14ac:dyDescent="0.2">
      <c r="A264" s="153" t="s">
        <v>148</v>
      </c>
      <c r="B264" s="129"/>
      <c r="C264" s="129"/>
      <c r="D264" s="129"/>
      <c r="E264" s="129"/>
      <c r="F264" s="129"/>
      <c r="G264" s="129"/>
      <c r="H264" s="123"/>
      <c r="I264" s="123"/>
      <c r="J264" s="123"/>
      <c r="K264" s="123"/>
      <c r="L264" s="1"/>
      <c r="M264" s="1"/>
      <c r="N264" s="1"/>
      <c r="O264" s="1"/>
      <c r="P264" s="1"/>
      <c r="Q264" s="1"/>
      <c r="R264" s="1"/>
      <c r="S264" s="1"/>
      <c r="T264" s="1"/>
      <c r="U264" s="1"/>
      <c r="V264" s="1"/>
      <c r="W264" s="1"/>
      <c r="X264" s="1"/>
      <c r="Y264" s="1"/>
      <c r="Z264" s="1"/>
      <c r="AA264" s="1"/>
      <c r="AB264" s="1"/>
      <c r="AC264" s="1"/>
      <c r="AD264" s="1"/>
    </row>
    <row r="265" spans="1:30" s="2" customFormat="1" x14ac:dyDescent="0.2">
      <c r="A265" s="128" t="s">
        <v>180</v>
      </c>
      <c r="B265" s="129"/>
      <c r="C265" s="129"/>
      <c r="D265" s="129"/>
      <c r="E265" s="129"/>
      <c r="F265" s="129"/>
      <c r="G265" s="129"/>
      <c r="H265" s="123"/>
      <c r="I265" s="123"/>
      <c r="J265" s="123"/>
      <c r="K265" s="123"/>
      <c r="L265" s="1"/>
      <c r="M265" s="1"/>
      <c r="N265" s="1"/>
      <c r="O265" s="1"/>
      <c r="P265" s="1"/>
      <c r="Q265" s="1"/>
      <c r="R265" s="1"/>
      <c r="S265" s="1"/>
      <c r="T265" s="1"/>
      <c r="U265" s="1"/>
      <c r="V265" s="1"/>
      <c r="W265" s="1"/>
      <c r="X265" s="1"/>
      <c r="Y265" s="1"/>
      <c r="Z265" s="1"/>
      <c r="AA265" s="1"/>
      <c r="AB265" s="1"/>
      <c r="AC265" s="1"/>
      <c r="AD265" s="1"/>
    </row>
    <row r="266" spans="1:30" s="2" customFormat="1" x14ac:dyDescent="0.2">
      <c r="A266" s="128" t="s">
        <v>192</v>
      </c>
      <c r="B266" s="129"/>
      <c r="C266" s="129"/>
      <c r="D266" s="129"/>
      <c r="E266" s="129"/>
      <c r="F266" s="129"/>
      <c r="G266" s="129"/>
      <c r="H266" s="123"/>
      <c r="I266" s="123"/>
      <c r="J266" s="123"/>
      <c r="K266" s="123"/>
      <c r="L266" s="1"/>
      <c r="M266" s="1"/>
      <c r="N266" s="1"/>
      <c r="O266" s="1"/>
      <c r="P266" s="1"/>
      <c r="Q266" s="1"/>
      <c r="R266" s="1"/>
      <c r="S266" s="1"/>
      <c r="T266" s="1"/>
      <c r="U266" s="1"/>
      <c r="V266" s="1"/>
      <c r="W266" s="1"/>
      <c r="X266" s="1"/>
      <c r="Y266" s="1"/>
      <c r="Z266" s="1"/>
      <c r="AA266" s="1"/>
      <c r="AB266" s="1"/>
      <c r="AC266" s="1"/>
      <c r="AD266" s="1"/>
    </row>
    <row r="267" spans="1:30" s="2" customFormat="1" x14ac:dyDescent="0.2">
      <c r="A267" s="128" t="s">
        <v>195</v>
      </c>
      <c r="B267" s="129"/>
      <c r="C267" s="129"/>
      <c r="D267" s="129"/>
      <c r="E267" s="129"/>
      <c r="F267" s="129"/>
      <c r="G267" s="129"/>
      <c r="H267" s="123"/>
      <c r="I267" s="123"/>
      <c r="J267" s="123"/>
      <c r="K267" s="123"/>
      <c r="L267" s="1"/>
      <c r="M267" s="1"/>
      <c r="N267" s="1"/>
      <c r="O267" s="1"/>
      <c r="P267" s="1"/>
      <c r="Q267" s="1"/>
      <c r="R267" s="1"/>
      <c r="S267" s="1"/>
      <c r="T267" s="1"/>
      <c r="U267" s="1"/>
      <c r="V267" s="1"/>
      <c r="W267" s="1"/>
      <c r="X267" s="1"/>
      <c r="Y267" s="1"/>
      <c r="Z267" s="1"/>
      <c r="AA267" s="1"/>
      <c r="AB267" s="1"/>
      <c r="AC267" s="1"/>
      <c r="AD267" s="1"/>
    </row>
    <row r="268" spans="1:30" s="2" customFormat="1" x14ac:dyDescent="0.2">
      <c r="A268" s="128" t="s">
        <v>46</v>
      </c>
      <c r="B268" s="129"/>
      <c r="C268" s="129"/>
      <c r="D268" s="129"/>
      <c r="E268" s="129"/>
      <c r="F268" s="129"/>
      <c r="G268" s="129"/>
      <c r="H268" s="123"/>
      <c r="I268" s="123"/>
      <c r="J268" s="123"/>
      <c r="K268" s="123"/>
      <c r="L268" s="1"/>
      <c r="M268" s="1"/>
      <c r="N268" s="1"/>
      <c r="O268" s="1"/>
      <c r="P268" s="1"/>
      <c r="Q268" s="1"/>
      <c r="R268" s="1"/>
      <c r="S268" s="1"/>
      <c r="T268" s="1"/>
      <c r="U268" s="1"/>
      <c r="V268" s="1"/>
      <c r="W268" s="1"/>
      <c r="X268" s="1"/>
      <c r="Y268" s="1"/>
      <c r="Z268" s="1"/>
      <c r="AA268" s="1"/>
      <c r="AB268" s="1"/>
      <c r="AC268" s="1"/>
      <c r="AD268" s="1"/>
    </row>
    <row r="269" spans="1:30" s="2" customFormat="1" x14ac:dyDescent="0.2">
      <c r="A269" s="128" t="s">
        <v>153</v>
      </c>
      <c r="B269" s="129"/>
      <c r="C269" s="129"/>
      <c r="D269" s="129"/>
      <c r="E269" s="129"/>
      <c r="F269" s="129"/>
      <c r="G269" s="129"/>
      <c r="H269" s="123"/>
      <c r="I269" s="123"/>
      <c r="J269" s="123"/>
      <c r="K269" s="123"/>
      <c r="L269" s="1"/>
      <c r="M269" s="1"/>
      <c r="N269" s="1"/>
      <c r="O269" s="1"/>
      <c r="P269" s="1"/>
      <c r="Q269" s="1"/>
      <c r="R269" s="1"/>
      <c r="S269" s="1"/>
      <c r="T269" s="1"/>
      <c r="U269" s="1"/>
      <c r="V269" s="1"/>
      <c r="W269" s="1"/>
      <c r="X269" s="1"/>
      <c r="Y269" s="1"/>
      <c r="Z269" s="1"/>
      <c r="AA269" s="1"/>
      <c r="AB269" s="1"/>
      <c r="AC269" s="1"/>
      <c r="AD269" s="1"/>
    </row>
    <row r="270" spans="1:30" s="2" customFormat="1" x14ac:dyDescent="0.2">
      <c r="A270" s="128" t="s">
        <v>150</v>
      </c>
      <c r="B270" s="129"/>
      <c r="C270" s="129"/>
      <c r="D270" s="129"/>
      <c r="E270" s="129"/>
      <c r="F270" s="129"/>
      <c r="G270" s="129"/>
      <c r="H270" s="123"/>
      <c r="I270" s="123"/>
      <c r="J270" s="123"/>
      <c r="K270" s="123"/>
      <c r="L270" s="1"/>
      <c r="M270" s="1"/>
      <c r="N270" s="1"/>
      <c r="O270" s="1"/>
      <c r="P270" s="1"/>
      <c r="Q270" s="1"/>
      <c r="R270" s="1"/>
      <c r="S270" s="1"/>
      <c r="T270" s="1"/>
      <c r="U270" s="1"/>
      <c r="V270" s="1"/>
      <c r="W270" s="1"/>
      <c r="X270" s="1"/>
      <c r="Y270" s="1"/>
      <c r="Z270" s="1"/>
      <c r="AA270" s="1"/>
      <c r="AB270" s="1"/>
      <c r="AC270" s="1"/>
      <c r="AD270" s="1"/>
    </row>
    <row r="271" spans="1:30" s="2" customFormat="1" x14ac:dyDescent="0.2">
      <c r="A271" s="128" t="s">
        <v>151</v>
      </c>
      <c r="B271" s="129"/>
      <c r="C271" s="129"/>
      <c r="D271" s="129"/>
      <c r="E271" s="129"/>
      <c r="F271" s="129"/>
      <c r="G271" s="129"/>
      <c r="H271" s="123"/>
      <c r="I271" s="123"/>
      <c r="J271" s="123"/>
      <c r="K271" s="123"/>
      <c r="L271" s="1"/>
      <c r="M271" s="1"/>
      <c r="N271" s="1"/>
      <c r="O271" s="1"/>
      <c r="P271" s="1"/>
      <c r="Q271" s="1"/>
      <c r="R271" s="1"/>
      <c r="S271" s="1"/>
      <c r="T271" s="1"/>
      <c r="U271" s="1"/>
      <c r="V271" s="1"/>
      <c r="W271" s="1"/>
      <c r="X271" s="1"/>
      <c r="Y271" s="1"/>
      <c r="Z271" s="1"/>
      <c r="AA271" s="1"/>
      <c r="AB271" s="1"/>
      <c r="AC271" s="1"/>
      <c r="AD271" s="1"/>
    </row>
    <row r="272" spans="1:30" s="2" customFormat="1" x14ac:dyDescent="0.2">
      <c r="A272" s="128" t="s">
        <v>152</v>
      </c>
      <c r="B272" s="129"/>
      <c r="C272" s="129"/>
      <c r="D272" s="129"/>
      <c r="E272" s="129"/>
      <c r="F272" s="129"/>
      <c r="G272" s="129"/>
      <c r="H272" s="123"/>
      <c r="I272" s="123"/>
      <c r="J272" s="123"/>
      <c r="K272" s="123"/>
      <c r="L272" s="1"/>
      <c r="M272" s="1"/>
      <c r="N272" s="1"/>
      <c r="O272" s="1"/>
      <c r="P272" s="1"/>
      <c r="Q272" s="1"/>
      <c r="R272" s="1"/>
      <c r="S272" s="1"/>
      <c r="T272" s="1"/>
      <c r="U272" s="1"/>
      <c r="V272" s="1"/>
      <c r="W272" s="1"/>
      <c r="X272" s="1"/>
      <c r="Y272" s="1"/>
      <c r="Z272" s="1"/>
      <c r="AA272" s="1"/>
      <c r="AB272" s="1"/>
      <c r="AC272" s="1"/>
      <c r="AD272" s="1"/>
    </row>
    <row r="273" spans="1:30" s="2" customFormat="1" ht="13.5" customHeight="1" x14ac:dyDescent="0.2">
      <c r="A273" s="155"/>
      <c r="B273" s="121"/>
      <c r="C273" s="121"/>
      <c r="D273" s="122"/>
      <c r="E273" s="122"/>
      <c r="F273" s="122"/>
      <c r="G273" s="122"/>
      <c r="H273" s="123"/>
      <c r="I273" s="123"/>
      <c r="J273" s="123"/>
      <c r="K273" s="123"/>
      <c r="L273" s="1"/>
      <c r="M273" s="1"/>
      <c r="N273" s="1"/>
      <c r="O273" s="1"/>
      <c r="P273" s="1"/>
      <c r="Q273" s="1"/>
      <c r="R273" s="1"/>
      <c r="S273" s="1"/>
      <c r="T273" s="1"/>
      <c r="U273" s="1"/>
      <c r="V273" s="1"/>
      <c r="W273" s="1"/>
      <c r="X273" s="1"/>
      <c r="Y273" s="1"/>
      <c r="Z273" s="1"/>
      <c r="AA273" s="1"/>
      <c r="AB273" s="1"/>
      <c r="AC273" s="1"/>
      <c r="AD273" s="1"/>
    </row>
    <row r="274" spans="1:30" s="2" customFormat="1" ht="20.25" x14ac:dyDescent="0.3">
      <c r="A274" s="127" t="s">
        <v>150</v>
      </c>
      <c r="B274" s="121"/>
      <c r="C274" s="121"/>
      <c r="D274" s="122"/>
      <c r="E274" s="122"/>
      <c r="F274" s="122"/>
      <c r="G274" s="122"/>
      <c r="H274" s="123"/>
      <c r="I274" s="123"/>
      <c r="J274" s="123"/>
      <c r="K274" s="123"/>
      <c r="L274" s="1"/>
      <c r="M274" s="1"/>
      <c r="N274" s="1"/>
      <c r="O274" s="1"/>
      <c r="P274" s="1"/>
      <c r="Q274" s="1"/>
      <c r="R274" s="1"/>
      <c r="S274" s="1"/>
      <c r="T274" s="1"/>
      <c r="U274" s="1"/>
      <c r="V274" s="1"/>
      <c r="W274" s="1"/>
      <c r="X274" s="1"/>
      <c r="Y274" s="1"/>
      <c r="Z274" s="1"/>
      <c r="AA274" s="1"/>
      <c r="AB274" s="1"/>
      <c r="AC274" s="1"/>
      <c r="AD274" s="1"/>
    </row>
    <row r="275" spans="1:30" s="2" customFormat="1" x14ac:dyDescent="0.2">
      <c r="A275" s="134" t="s">
        <v>145</v>
      </c>
      <c r="B275" s="121"/>
      <c r="C275" s="121"/>
      <c r="D275" s="122"/>
      <c r="E275" s="122"/>
      <c r="F275" s="122"/>
      <c r="G275" s="122"/>
      <c r="H275" s="123"/>
      <c r="I275" s="123"/>
      <c r="J275" s="123"/>
      <c r="K275" s="123"/>
      <c r="L275" s="1"/>
      <c r="M275" s="14"/>
      <c r="N275" s="1"/>
      <c r="O275" s="1"/>
      <c r="P275" s="1"/>
      <c r="Q275" s="1"/>
      <c r="R275" s="1"/>
      <c r="S275" s="1"/>
      <c r="T275" s="1"/>
      <c r="U275" s="1"/>
      <c r="V275" s="1"/>
      <c r="W275" s="1"/>
      <c r="X275" s="1"/>
      <c r="Y275" s="1"/>
      <c r="Z275" s="1"/>
      <c r="AA275" s="1"/>
      <c r="AB275" s="1"/>
      <c r="AC275" s="1"/>
      <c r="AD275" s="1"/>
    </row>
    <row r="276" spans="1:30" s="2" customFormat="1" x14ac:dyDescent="0.2">
      <c r="A276" s="172"/>
      <c r="B276" s="121"/>
      <c r="C276" s="121"/>
      <c r="D276" s="122"/>
      <c r="E276" s="122"/>
      <c r="F276" s="122"/>
      <c r="G276" s="122"/>
      <c r="H276" s="123"/>
      <c r="I276" s="123"/>
      <c r="J276" s="123"/>
      <c r="K276" s="123"/>
      <c r="L276" s="1"/>
      <c r="M276" s="14"/>
      <c r="N276" s="1"/>
      <c r="O276" s="1"/>
      <c r="P276" s="1"/>
      <c r="Q276" s="1"/>
      <c r="R276" s="1"/>
      <c r="S276" s="1"/>
      <c r="T276" s="1"/>
      <c r="U276" s="1"/>
      <c r="V276" s="1"/>
      <c r="W276" s="1"/>
      <c r="X276" s="1"/>
      <c r="Y276" s="1"/>
      <c r="Z276" s="1"/>
      <c r="AA276" s="1"/>
      <c r="AB276" s="1"/>
      <c r="AC276" s="1"/>
      <c r="AD276" s="1"/>
    </row>
    <row r="277" spans="1:30" s="2" customFormat="1" x14ac:dyDescent="0.2">
      <c r="A277" s="239" t="s">
        <v>79</v>
      </c>
      <c r="B277" s="239"/>
      <c r="C277" s="239"/>
      <c r="D277" s="239"/>
      <c r="E277" s="239"/>
      <c r="F277" s="239"/>
      <c r="G277" s="239"/>
      <c r="H277" s="239"/>
      <c r="I277" s="239"/>
      <c r="J277" s="239"/>
      <c r="K277" s="239"/>
      <c r="L277" s="1"/>
      <c r="M277" s="1"/>
      <c r="N277" s="1"/>
      <c r="O277" s="1"/>
      <c r="P277" s="1"/>
      <c r="Q277" s="1"/>
      <c r="R277" s="1"/>
      <c r="S277" s="1"/>
      <c r="T277" s="1"/>
      <c r="U277" s="1"/>
      <c r="V277" s="1"/>
      <c r="W277" s="1"/>
      <c r="X277" s="1"/>
      <c r="Y277" s="1"/>
      <c r="Z277" s="1"/>
      <c r="AA277" s="1"/>
      <c r="AB277" s="1"/>
      <c r="AC277" s="1"/>
      <c r="AD277" s="1"/>
    </row>
    <row r="278" spans="1:30" s="2" customFormat="1" x14ac:dyDescent="0.2">
      <c r="A278" s="121"/>
      <c r="B278" s="121"/>
      <c r="C278" s="121"/>
      <c r="D278" s="122"/>
      <c r="E278" s="122"/>
      <c r="F278" s="122"/>
      <c r="G278" s="122"/>
      <c r="H278" s="123"/>
      <c r="I278" s="123"/>
      <c r="J278" s="123"/>
      <c r="K278" s="123"/>
      <c r="L278" s="1"/>
      <c r="M278" s="5" t="s">
        <v>60</v>
      </c>
      <c r="N278" s="1"/>
      <c r="O278" s="1"/>
      <c r="P278" s="1"/>
      <c r="Q278" s="1"/>
      <c r="R278" s="1"/>
      <c r="S278" s="1"/>
      <c r="T278" s="1"/>
      <c r="U278" s="1"/>
      <c r="V278" s="1"/>
      <c r="W278" s="1"/>
      <c r="X278" s="1"/>
      <c r="Y278" s="1"/>
      <c r="Z278" s="1"/>
      <c r="AA278" s="1"/>
      <c r="AB278" s="1"/>
      <c r="AC278" s="1"/>
      <c r="AD278" s="1"/>
    </row>
    <row r="279" spans="1:30" s="2" customFormat="1" x14ac:dyDescent="0.2">
      <c r="A279" s="121"/>
      <c r="B279" s="121"/>
      <c r="C279" s="121"/>
      <c r="D279" s="122"/>
      <c r="E279" s="122"/>
      <c r="F279" s="122"/>
      <c r="G279" s="122"/>
      <c r="H279" s="123"/>
      <c r="I279" s="123"/>
      <c r="J279" s="123"/>
      <c r="K279" s="123"/>
      <c r="L279" s="1"/>
      <c r="M279" s="1" t="str">
        <f>ship_plot&amp; ": Annual costs - "&amp;scenario_display&amp; " scenario"</f>
        <v>: Annual costs -  scenario</v>
      </c>
      <c r="N279" s="1"/>
      <c r="O279" s="1"/>
      <c r="P279" s="1"/>
      <c r="Q279" s="1"/>
      <c r="R279" s="1"/>
      <c r="S279" s="1"/>
      <c r="T279" s="1"/>
      <c r="U279" s="1"/>
      <c r="V279" s="1"/>
      <c r="W279" s="1"/>
      <c r="X279" s="1"/>
      <c r="Y279" s="1"/>
      <c r="Z279" s="1"/>
      <c r="AA279" s="1"/>
      <c r="AB279" s="1"/>
      <c r="AC279" s="1"/>
      <c r="AD279" s="1"/>
    </row>
    <row r="280" spans="1:30" s="2" customFormat="1" x14ac:dyDescent="0.2">
      <c r="A280" s="121"/>
      <c r="B280" s="121"/>
      <c r="C280" s="121"/>
      <c r="D280" s="122"/>
      <c r="E280" s="122"/>
      <c r="F280" s="122"/>
      <c r="G280" s="122"/>
      <c r="H280" s="123"/>
      <c r="I280" s="123"/>
      <c r="J280" s="123"/>
      <c r="K280" s="123"/>
      <c r="L280" s="1"/>
      <c r="M280" s="1" t="str">
        <f>ship_plot&amp; ": Fuel switchover option - average costs - "&amp;scenario_display&amp; " scenario"</f>
        <v>: Fuel switchover option - average costs -  scenario</v>
      </c>
      <c r="N280" s="1"/>
      <c r="O280" s="1"/>
      <c r="P280" s="1"/>
      <c r="Q280" s="1"/>
      <c r="R280" s="1"/>
      <c r="S280" s="1"/>
      <c r="T280" s="1"/>
      <c r="U280" s="1"/>
      <c r="V280" s="1"/>
      <c r="W280" s="1"/>
      <c r="X280" s="1"/>
      <c r="Y280" s="1"/>
      <c r="Z280" s="1"/>
      <c r="AA280" s="1"/>
      <c r="AB280" s="1"/>
      <c r="AC280" s="1"/>
      <c r="AD280" s="1"/>
    </row>
    <row r="281" spans="1:30" s="2" customFormat="1" x14ac:dyDescent="0.2">
      <c r="A281" s="121"/>
      <c r="B281" s="121"/>
      <c r="C281" s="121"/>
      <c r="D281" s="122"/>
      <c r="E281" s="122"/>
      <c r="F281" s="122"/>
      <c r="G281" s="122"/>
      <c r="H281" s="123"/>
      <c r="I281" s="123"/>
      <c r="J281" s="123"/>
      <c r="K281" s="123"/>
      <c r="L281" s="1"/>
      <c r="M281" s="15" t="e">
        <f>ship_plot&amp; ": Cumulative cashflows - "&amp;scenario_display&amp; " scenario - " &amp;dr_plotted&amp; "% discount rate"</f>
        <v>#N/A</v>
      </c>
      <c r="N281" s="1"/>
      <c r="O281" s="1"/>
      <c r="P281" s="1"/>
      <c r="Q281" s="1"/>
      <c r="R281" s="1"/>
      <c r="S281" s="1"/>
      <c r="T281" s="1"/>
      <c r="U281" s="1"/>
      <c r="V281" s="1"/>
      <c r="W281" s="1"/>
      <c r="X281" s="1"/>
      <c r="Y281" s="1"/>
      <c r="Z281" s="1"/>
      <c r="AA281" s="1"/>
      <c r="AB281" s="1"/>
      <c r="AC281" s="1"/>
      <c r="AD281" s="1"/>
    </row>
    <row r="282" spans="1:30" s="2" customFormat="1" x14ac:dyDescent="0.2">
      <c r="A282" s="121"/>
      <c r="B282" s="121"/>
      <c r="C282" s="121"/>
      <c r="D282" s="122"/>
      <c r="E282" s="122"/>
      <c r="F282" s="122"/>
      <c r="G282" s="122"/>
      <c r="H282" s="123"/>
      <c r="I282" s="123"/>
      <c r="J282" s="123"/>
      <c r="K282" s="123"/>
      <c r="L282" s="1"/>
      <c r="M282" s="16" t="e">
        <f>100*IF(scenario_display="Low",HLOOKUP(ship_plot,B243:G246,2,FALSE),IF(scenario_display="Medium",HLOOKUP(ship_plot,B243:G246,3,FALSE),HLOOKUP(ship_plot,B243:G246,4,FALSE)))</f>
        <v>#N/A</v>
      </c>
      <c r="N282" s="1"/>
      <c r="O282" s="1"/>
      <c r="P282" s="1"/>
      <c r="Q282" s="1"/>
      <c r="R282" s="1"/>
      <c r="S282" s="1"/>
      <c r="T282" s="1"/>
      <c r="U282" s="1"/>
      <c r="V282" s="1"/>
      <c r="W282" s="1"/>
      <c r="X282" s="1"/>
      <c r="Y282" s="1"/>
      <c r="Z282" s="1"/>
      <c r="AA282" s="1"/>
      <c r="AB282" s="1"/>
      <c r="AC282" s="1"/>
      <c r="AD282" s="1"/>
    </row>
    <row r="283" spans="1:30" s="2" customFormat="1" x14ac:dyDescent="0.2">
      <c r="A283" s="121"/>
      <c r="B283" s="121"/>
      <c r="C283" s="121"/>
      <c r="D283" s="122"/>
      <c r="E283" s="122"/>
      <c r="F283" s="122"/>
      <c r="G283" s="122"/>
      <c r="H283" s="123"/>
      <c r="I283" s="123"/>
      <c r="J283" s="123"/>
      <c r="K283" s="123"/>
      <c r="L283" s="1"/>
      <c r="M283" s="1"/>
      <c r="N283" s="1"/>
      <c r="O283" s="1"/>
      <c r="P283" s="1"/>
      <c r="Q283" s="1"/>
      <c r="R283" s="1"/>
      <c r="S283" s="1"/>
      <c r="T283" s="1"/>
      <c r="U283" s="1"/>
      <c r="V283" s="1"/>
      <c r="W283" s="1"/>
      <c r="X283" s="1"/>
      <c r="Y283" s="1"/>
      <c r="Z283" s="1"/>
      <c r="AA283" s="1"/>
      <c r="AB283" s="1"/>
      <c r="AC283" s="1"/>
      <c r="AD283" s="1"/>
    </row>
    <row r="284" spans="1:30" s="2" customFormat="1" x14ac:dyDescent="0.2">
      <c r="A284" s="121"/>
      <c r="B284" s="121"/>
      <c r="C284" s="121"/>
      <c r="D284" s="122"/>
      <c r="E284" s="122"/>
      <c r="F284" s="122"/>
      <c r="G284" s="122"/>
      <c r="H284" s="123"/>
      <c r="I284" s="123"/>
      <c r="J284" s="123"/>
      <c r="K284" s="123"/>
      <c r="L284" s="1"/>
      <c r="M284" s="1" t="str">
        <f>ship_plot&amp; ": EGCS option - average costs - "&amp;scenario_display&amp; " scenario"</f>
        <v>: EGCS option - average costs -  scenario</v>
      </c>
      <c r="N284" s="1"/>
      <c r="O284" s="1"/>
      <c r="P284" s="1"/>
      <c r="Q284" s="1"/>
      <c r="R284" s="1"/>
      <c r="S284" s="1"/>
      <c r="T284" s="1"/>
      <c r="U284" s="1"/>
      <c r="V284" s="1"/>
      <c r="W284" s="1"/>
      <c r="X284" s="1"/>
      <c r="Y284" s="1"/>
      <c r="Z284" s="1"/>
      <c r="AA284" s="1"/>
      <c r="AB284" s="1"/>
      <c r="AC284" s="1"/>
      <c r="AD284" s="1"/>
    </row>
    <row r="285" spans="1:30" s="2" customFormat="1" x14ac:dyDescent="0.2">
      <c r="A285" s="121"/>
      <c r="B285" s="121"/>
      <c r="C285" s="121"/>
      <c r="D285" s="122"/>
      <c r="E285" s="122"/>
      <c r="F285" s="122"/>
      <c r="G285" s="122"/>
      <c r="H285" s="123"/>
      <c r="I285" s="123"/>
      <c r="J285" s="123"/>
      <c r="K285" s="123"/>
      <c r="L285" s="1"/>
      <c r="M285" s="1"/>
      <c r="N285" s="1"/>
      <c r="O285" s="1"/>
      <c r="P285" s="1"/>
      <c r="Q285" s="1"/>
      <c r="R285" s="1"/>
      <c r="S285" s="1"/>
      <c r="T285" s="1"/>
      <c r="U285" s="1"/>
      <c r="V285" s="1"/>
      <c r="W285" s="1"/>
      <c r="X285" s="1"/>
      <c r="Y285" s="1"/>
      <c r="Z285" s="1"/>
      <c r="AA285" s="1"/>
      <c r="AB285" s="1"/>
      <c r="AC285" s="1"/>
      <c r="AD285" s="1"/>
    </row>
    <row r="286" spans="1:30" s="2" customFormat="1" x14ac:dyDescent="0.2">
      <c r="A286" s="121"/>
      <c r="B286" s="121"/>
      <c r="C286" s="121"/>
      <c r="D286" s="122"/>
      <c r="E286" s="122"/>
      <c r="F286" s="122"/>
      <c r="G286" s="122"/>
      <c r="H286" s="123"/>
      <c r="I286" s="123"/>
      <c r="J286" s="123"/>
      <c r="K286" s="123"/>
      <c r="L286" s="1"/>
      <c r="M286" s="1"/>
      <c r="N286" s="1"/>
      <c r="O286" s="1"/>
      <c r="P286" s="1"/>
      <c r="Q286" s="1"/>
      <c r="R286" s="1"/>
      <c r="S286" s="1"/>
      <c r="T286" s="1"/>
      <c r="U286" s="1"/>
      <c r="V286" s="1"/>
      <c r="W286" s="1"/>
      <c r="X286" s="1"/>
      <c r="Y286" s="1"/>
      <c r="Z286" s="1"/>
      <c r="AA286" s="1"/>
      <c r="AB286" s="1"/>
      <c r="AC286" s="1"/>
      <c r="AD286" s="1"/>
    </row>
    <row r="287" spans="1:30" s="2" customFormat="1" x14ac:dyDescent="0.2">
      <c r="A287" s="121"/>
      <c r="B287" s="121"/>
      <c r="C287" s="121"/>
      <c r="D287" s="122"/>
      <c r="E287" s="122"/>
      <c r="F287" s="122"/>
      <c r="G287" s="122"/>
      <c r="H287" s="123"/>
      <c r="I287" s="123"/>
      <c r="J287" s="123"/>
      <c r="K287" s="123"/>
      <c r="L287" s="1"/>
      <c r="M287" s="1"/>
      <c r="N287" s="1"/>
      <c r="O287" s="1"/>
      <c r="P287" s="1"/>
      <c r="Q287" s="1"/>
      <c r="R287" s="1"/>
      <c r="S287" s="1"/>
      <c r="T287" s="1"/>
      <c r="U287" s="1"/>
      <c r="V287" s="1"/>
      <c r="W287" s="1"/>
      <c r="X287" s="1"/>
      <c r="Y287" s="1"/>
      <c r="Z287" s="1"/>
      <c r="AA287" s="1"/>
      <c r="AB287" s="1"/>
      <c r="AC287" s="1"/>
      <c r="AD287" s="1"/>
    </row>
    <row r="288" spans="1:30" s="2" customFormat="1" x14ac:dyDescent="0.2">
      <c r="A288" s="121"/>
      <c r="B288" s="121"/>
      <c r="C288" s="121"/>
      <c r="D288" s="122"/>
      <c r="E288" s="122"/>
      <c r="F288" s="122"/>
      <c r="G288" s="122"/>
      <c r="H288" s="123"/>
      <c r="I288" s="123"/>
      <c r="J288" s="123"/>
      <c r="K288" s="123"/>
      <c r="L288" s="1"/>
      <c r="M288" s="1"/>
      <c r="N288" s="1"/>
      <c r="O288" s="1"/>
      <c r="P288" s="1"/>
      <c r="Q288" s="1"/>
      <c r="R288" s="1"/>
      <c r="S288" s="1"/>
      <c r="T288" s="1"/>
      <c r="U288" s="1"/>
      <c r="V288" s="1"/>
      <c r="W288" s="1"/>
      <c r="X288" s="1"/>
      <c r="Y288" s="1"/>
      <c r="Z288" s="1"/>
      <c r="AA288" s="1"/>
      <c r="AB288" s="1"/>
      <c r="AC288" s="1"/>
      <c r="AD288" s="1"/>
    </row>
    <row r="289" spans="1:30" s="2" customFormat="1" x14ac:dyDescent="0.2">
      <c r="A289" s="121"/>
      <c r="B289" s="121"/>
      <c r="C289" s="121"/>
      <c r="D289" s="122"/>
      <c r="E289" s="122"/>
      <c r="F289" s="122"/>
      <c r="G289" s="122"/>
      <c r="H289" s="123"/>
      <c r="I289" s="123"/>
      <c r="J289" s="123"/>
      <c r="K289" s="123"/>
      <c r="L289" s="1"/>
      <c r="M289" s="1"/>
      <c r="N289" s="1"/>
      <c r="O289" s="1"/>
      <c r="P289" s="1"/>
      <c r="Q289" s="1"/>
      <c r="R289" s="1"/>
      <c r="S289" s="1"/>
      <c r="T289" s="1"/>
      <c r="U289" s="1"/>
      <c r="V289" s="1"/>
      <c r="W289" s="1"/>
      <c r="X289" s="1"/>
      <c r="Y289" s="1"/>
      <c r="Z289" s="1"/>
      <c r="AA289" s="1"/>
      <c r="AB289" s="1"/>
      <c r="AC289" s="1"/>
      <c r="AD289" s="1"/>
    </row>
    <row r="290" spans="1:30" s="2" customFormat="1" x14ac:dyDescent="0.2">
      <c r="A290" s="121"/>
      <c r="B290" s="121"/>
      <c r="C290" s="121"/>
      <c r="D290" s="122"/>
      <c r="E290" s="122"/>
      <c r="F290" s="122"/>
      <c r="G290" s="122"/>
      <c r="H290" s="123"/>
      <c r="I290" s="123"/>
      <c r="J290" s="123"/>
      <c r="K290" s="123"/>
      <c r="L290" s="1"/>
      <c r="M290" s="1"/>
      <c r="N290" s="1"/>
      <c r="O290" s="1"/>
      <c r="P290" s="1"/>
      <c r="Q290" s="1"/>
      <c r="R290" s="1"/>
      <c r="S290" s="1"/>
      <c r="T290" s="1"/>
      <c r="U290" s="1"/>
      <c r="V290" s="1"/>
      <c r="W290" s="1"/>
      <c r="X290" s="1"/>
      <c r="Y290" s="1"/>
      <c r="Z290" s="1"/>
      <c r="AA290" s="1"/>
      <c r="AB290" s="1"/>
      <c r="AC290" s="1"/>
      <c r="AD290" s="1"/>
    </row>
    <row r="291" spans="1:30" s="2" customFormat="1" x14ac:dyDescent="0.2">
      <c r="A291" s="121"/>
      <c r="B291" s="121"/>
      <c r="C291" s="121"/>
      <c r="D291" s="122"/>
      <c r="E291" s="122"/>
      <c r="F291" s="122"/>
      <c r="G291" s="122"/>
      <c r="H291" s="123"/>
      <c r="I291" s="123"/>
      <c r="J291" s="123"/>
      <c r="K291" s="123"/>
      <c r="L291" s="1"/>
      <c r="M291" s="1"/>
      <c r="N291" s="1"/>
      <c r="O291" s="1"/>
      <c r="P291" s="1"/>
      <c r="Q291" s="1"/>
      <c r="R291" s="1"/>
      <c r="S291" s="1"/>
      <c r="T291" s="1"/>
      <c r="U291" s="1"/>
      <c r="V291" s="1"/>
      <c r="W291" s="1"/>
      <c r="X291" s="1"/>
      <c r="Y291" s="1"/>
      <c r="Z291" s="1"/>
      <c r="AA291" s="1"/>
      <c r="AB291" s="1"/>
      <c r="AC291" s="1"/>
      <c r="AD291" s="1"/>
    </row>
    <row r="292" spans="1:30" s="2" customFormat="1" x14ac:dyDescent="0.2">
      <c r="A292" s="121"/>
      <c r="B292" s="121"/>
      <c r="C292" s="121"/>
      <c r="D292" s="122"/>
      <c r="E292" s="122"/>
      <c r="F292" s="122"/>
      <c r="G292" s="122"/>
      <c r="H292" s="123"/>
      <c r="I292" s="123"/>
      <c r="J292" s="123"/>
      <c r="K292" s="123"/>
      <c r="L292" s="1"/>
      <c r="M292" s="1"/>
      <c r="N292" s="1"/>
      <c r="O292" s="1"/>
      <c r="P292" s="1"/>
      <c r="Q292" s="1"/>
      <c r="R292" s="1"/>
      <c r="S292" s="1"/>
      <c r="T292" s="1"/>
      <c r="U292" s="1"/>
      <c r="V292" s="1"/>
      <c r="W292" s="1"/>
      <c r="X292" s="1"/>
      <c r="Y292" s="1"/>
      <c r="Z292" s="1"/>
      <c r="AA292" s="1"/>
      <c r="AB292" s="1"/>
      <c r="AC292" s="1"/>
      <c r="AD292" s="1"/>
    </row>
    <row r="293" spans="1:30" s="2" customFormat="1" x14ac:dyDescent="0.2">
      <c r="A293" s="121"/>
      <c r="B293" s="121"/>
      <c r="C293" s="121"/>
      <c r="D293" s="122"/>
      <c r="E293" s="122"/>
      <c r="F293" s="122"/>
      <c r="G293" s="122"/>
      <c r="H293" s="123"/>
      <c r="I293" s="123"/>
      <c r="J293" s="123"/>
      <c r="K293" s="123"/>
      <c r="L293" s="1"/>
      <c r="M293" s="1"/>
      <c r="N293" s="1"/>
      <c r="O293" s="1"/>
      <c r="P293" s="1"/>
      <c r="Q293" s="1"/>
      <c r="R293" s="1"/>
      <c r="S293" s="1"/>
      <c r="T293" s="1"/>
      <c r="U293" s="1"/>
      <c r="V293" s="1"/>
      <c r="W293" s="1"/>
      <c r="X293" s="1"/>
      <c r="Y293" s="1"/>
      <c r="Z293" s="1"/>
      <c r="AA293" s="1"/>
      <c r="AB293" s="1"/>
      <c r="AC293" s="1"/>
      <c r="AD293" s="1"/>
    </row>
    <row r="294" spans="1:30" s="2" customFormat="1" x14ac:dyDescent="0.2">
      <c r="A294" s="121"/>
      <c r="B294" s="121"/>
      <c r="C294" s="121"/>
      <c r="D294" s="122"/>
      <c r="E294" s="122"/>
      <c r="F294" s="122"/>
      <c r="G294" s="122"/>
      <c r="H294" s="123"/>
      <c r="I294" s="123"/>
      <c r="J294" s="123"/>
      <c r="K294" s="123"/>
      <c r="L294" s="1"/>
      <c r="M294" s="1"/>
      <c r="N294" s="1"/>
      <c r="O294" s="1"/>
      <c r="P294" s="1"/>
      <c r="Q294" s="1"/>
      <c r="R294" s="1"/>
      <c r="S294" s="1"/>
      <c r="T294" s="1"/>
      <c r="U294" s="1"/>
      <c r="V294" s="1"/>
      <c r="W294" s="1"/>
      <c r="X294" s="1"/>
      <c r="Y294" s="1"/>
      <c r="Z294" s="1"/>
      <c r="AA294" s="1"/>
      <c r="AB294" s="1"/>
      <c r="AC294" s="1"/>
      <c r="AD294" s="1"/>
    </row>
    <row r="295" spans="1:30" s="2" customFormat="1" x14ac:dyDescent="0.2">
      <c r="A295" s="121"/>
      <c r="B295" s="121"/>
      <c r="C295" s="121"/>
      <c r="D295" s="122"/>
      <c r="E295" s="122"/>
      <c r="F295" s="122"/>
      <c r="G295" s="122"/>
      <c r="H295" s="123"/>
      <c r="I295" s="123"/>
      <c r="J295" s="123"/>
      <c r="K295" s="123"/>
      <c r="L295" s="1"/>
      <c r="M295" s="1"/>
      <c r="N295" s="1"/>
      <c r="O295" s="1"/>
      <c r="P295" s="1"/>
      <c r="Q295" s="1"/>
      <c r="R295" s="1"/>
      <c r="S295" s="1"/>
      <c r="T295" s="1"/>
      <c r="U295" s="1"/>
      <c r="V295" s="1"/>
      <c r="W295" s="1"/>
      <c r="X295" s="1"/>
      <c r="Y295" s="1"/>
      <c r="Z295" s="1"/>
      <c r="AA295" s="1"/>
      <c r="AB295" s="1"/>
      <c r="AC295" s="1"/>
      <c r="AD295" s="1"/>
    </row>
    <row r="296" spans="1:30" s="2" customFormat="1" x14ac:dyDescent="0.2">
      <c r="A296" s="121"/>
      <c r="B296" s="121"/>
      <c r="C296" s="121"/>
      <c r="D296" s="122"/>
      <c r="E296" s="122"/>
      <c r="F296" s="122"/>
      <c r="G296" s="122"/>
      <c r="H296" s="123"/>
      <c r="I296" s="123"/>
      <c r="J296" s="123"/>
      <c r="K296" s="123"/>
      <c r="L296" s="1"/>
      <c r="M296" s="1"/>
      <c r="N296" s="1"/>
      <c r="O296" s="1"/>
      <c r="P296" s="1"/>
      <c r="Q296" s="1"/>
      <c r="R296" s="1"/>
      <c r="S296" s="1"/>
      <c r="T296" s="1"/>
      <c r="U296" s="1"/>
      <c r="V296" s="1"/>
      <c r="W296" s="1"/>
      <c r="X296" s="1"/>
      <c r="Y296" s="1"/>
      <c r="Z296" s="1"/>
      <c r="AA296" s="1"/>
      <c r="AB296" s="1"/>
      <c r="AC296" s="1"/>
      <c r="AD296" s="1"/>
    </row>
    <row r="297" spans="1:30" s="2" customFormat="1" x14ac:dyDescent="0.2">
      <c r="A297" s="121"/>
      <c r="B297" s="121"/>
      <c r="C297" s="121"/>
      <c r="D297" s="122"/>
      <c r="E297" s="122"/>
      <c r="F297" s="122"/>
      <c r="G297" s="122"/>
      <c r="H297" s="123"/>
      <c r="I297" s="123"/>
      <c r="J297" s="123"/>
      <c r="K297" s="123"/>
      <c r="L297" s="1"/>
      <c r="M297" s="1"/>
      <c r="N297" s="1"/>
      <c r="O297" s="1"/>
      <c r="P297" s="1"/>
      <c r="Q297" s="1"/>
      <c r="R297" s="1"/>
      <c r="S297" s="1"/>
      <c r="T297" s="1"/>
      <c r="U297" s="1"/>
      <c r="V297" s="1"/>
      <c r="W297" s="1"/>
      <c r="X297" s="1"/>
      <c r="Y297" s="1"/>
      <c r="Z297" s="1"/>
      <c r="AA297" s="1"/>
      <c r="AB297" s="1"/>
      <c r="AC297" s="1"/>
      <c r="AD297" s="1"/>
    </row>
    <row r="298" spans="1:30" s="2" customFormat="1" x14ac:dyDescent="0.2">
      <c r="A298" s="121"/>
      <c r="B298" s="121"/>
      <c r="C298" s="121"/>
      <c r="D298" s="122"/>
      <c r="E298" s="122"/>
      <c r="F298" s="122"/>
      <c r="G298" s="122"/>
      <c r="H298" s="123"/>
      <c r="I298" s="123"/>
      <c r="J298" s="123"/>
      <c r="K298" s="123"/>
      <c r="L298" s="1"/>
      <c r="M298" s="1"/>
      <c r="N298" s="1"/>
      <c r="O298" s="1"/>
      <c r="P298" s="1"/>
      <c r="Q298" s="1"/>
      <c r="R298" s="1"/>
      <c r="S298" s="1"/>
      <c r="T298" s="1"/>
      <c r="U298" s="1"/>
      <c r="V298" s="1"/>
      <c r="W298" s="1"/>
      <c r="X298" s="1"/>
      <c r="Y298" s="1"/>
      <c r="Z298" s="1"/>
      <c r="AA298" s="1"/>
      <c r="AB298" s="1"/>
      <c r="AC298" s="1"/>
      <c r="AD298" s="1"/>
    </row>
    <row r="299" spans="1:30" s="2" customFormat="1" x14ac:dyDescent="0.2">
      <c r="A299" s="121"/>
      <c r="B299" s="121"/>
      <c r="C299" s="121"/>
      <c r="D299" s="122"/>
      <c r="E299" s="122"/>
      <c r="F299" s="122"/>
      <c r="G299" s="122"/>
      <c r="H299" s="123"/>
      <c r="I299" s="123"/>
      <c r="J299" s="123"/>
      <c r="K299" s="123"/>
      <c r="L299" s="1"/>
      <c r="M299" s="1"/>
      <c r="N299" s="1"/>
      <c r="O299" s="1"/>
      <c r="P299" s="1"/>
      <c r="Q299" s="1"/>
      <c r="R299" s="1"/>
      <c r="S299" s="1"/>
      <c r="T299" s="1"/>
      <c r="U299" s="1"/>
      <c r="V299" s="1"/>
      <c r="W299" s="1"/>
      <c r="X299" s="1"/>
      <c r="Y299" s="1"/>
      <c r="Z299" s="1"/>
      <c r="AA299" s="1"/>
      <c r="AB299" s="1"/>
      <c r="AC299" s="1"/>
      <c r="AD299" s="1"/>
    </row>
    <row r="300" spans="1:30" s="2" customFormat="1" x14ac:dyDescent="0.2">
      <c r="A300" s="121"/>
      <c r="B300" s="121"/>
      <c r="C300" s="121"/>
      <c r="D300" s="122"/>
      <c r="E300" s="122"/>
      <c r="F300" s="122"/>
      <c r="G300" s="122"/>
      <c r="H300" s="123"/>
      <c r="I300" s="123"/>
      <c r="J300" s="123"/>
      <c r="K300" s="123"/>
      <c r="L300" s="1"/>
      <c r="M300" s="1"/>
      <c r="N300" s="1"/>
      <c r="O300" s="1"/>
      <c r="P300" s="1"/>
      <c r="Q300" s="1"/>
      <c r="R300" s="1"/>
      <c r="S300" s="1"/>
      <c r="T300" s="1"/>
      <c r="U300" s="1"/>
      <c r="V300" s="1"/>
      <c r="W300" s="1"/>
      <c r="X300" s="1"/>
      <c r="Y300" s="1"/>
      <c r="Z300" s="1"/>
      <c r="AA300" s="1"/>
      <c r="AB300" s="1"/>
      <c r="AC300" s="1"/>
      <c r="AD300" s="1"/>
    </row>
    <row r="301" spans="1:30" s="2" customFormat="1" x14ac:dyDescent="0.2">
      <c r="A301" s="121"/>
      <c r="B301" s="121"/>
      <c r="C301" s="121"/>
      <c r="D301" s="122"/>
      <c r="E301" s="122"/>
      <c r="F301" s="122"/>
      <c r="G301" s="122"/>
      <c r="H301" s="123"/>
      <c r="I301" s="123"/>
      <c r="J301" s="123"/>
      <c r="K301" s="123"/>
      <c r="L301" s="1"/>
      <c r="M301" s="1"/>
      <c r="N301" s="1"/>
      <c r="O301" s="1"/>
      <c r="P301" s="1"/>
      <c r="Q301" s="1"/>
      <c r="R301" s="1"/>
      <c r="S301" s="1"/>
      <c r="T301" s="1"/>
      <c r="U301" s="1"/>
      <c r="V301" s="1"/>
      <c r="W301" s="1"/>
      <c r="X301" s="1"/>
      <c r="Y301" s="1"/>
      <c r="Z301" s="1"/>
      <c r="AA301" s="1"/>
      <c r="AB301" s="1"/>
      <c r="AC301" s="1"/>
      <c r="AD301" s="1"/>
    </row>
    <row r="302" spans="1:30" s="2" customFormat="1" x14ac:dyDescent="0.2">
      <c r="A302" s="153" t="s">
        <v>96</v>
      </c>
      <c r="B302" s="121"/>
      <c r="C302" s="121"/>
      <c r="D302" s="122"/>
      <c r="E302" s="122"/>
      <c r="F302" s="122"/>
      <c r="G302" s="122"/>
      <c r="H302" s="123"/>
      <c r="I302" s="123"/>
      <c r="J302" s="123"/>
      <c r="K302" s="123"/>
      <c r="L302" s="1"/>
      <c r="M302" s="1"/>
      <c r="N302" s="1"/>
      <c r="O302" s="1"/>
      <c r="P302" s="5" t="s">
        <v>64</v>
      </c>
      <c r="Q302" s="1"/>
      <c r="R302" s="1"/>
      <c r="S302" s="5" t="s">
        <v>93</v>
      </c>
      <c r="T302" s="1"/>
      <c r="U302" s="1"/>
      <c r="V302" s="1"/>
      <c r="W302" s="1"/>
      <c r="X302" s="1"/>
      <c r="Y302" s="1"/>
      <c r="Z302" s="1"/>
      <c r="AA302" s="1"/>
      <c r="AB302" s="1"/>
      <c r="AC302" s="1"/>
      <c r="AD302" s="1"/>
    </row>
    <row r="303" spans="1:30" s="2" customFormat="1" x14ac:dyDescent="0.2">
      <c r="A303" s="121" t="s">
        <v>121</v>
      </c>
      <c r="B303" s="224" t="e">
        <f>IF(ISERROR(P304),"Never",ROUNDDOWN(P$309,0))</f>
        <v>#REF!</v>
      </c>
      <c r="C303" s="214" t="str">
        <f>IF(ISERROR($P$304),"","years")</f>
        <v>years</v>
      </c>
      <c r="D303" s="224" t="e">
        <f>IF(ISERROR(P304),"",(P$309-ROUNDDOWN($P$309,0))*12)</f>
        <v>#REF!</v>
      </c>
      <c r="E303" s="214" t="str">
        <f>IF(ISERROR($P$304),"","months")</f>
        <v>months</v>
      </c>
      <c r="F303" s="216"/>
      <c r="G303" s="216"/>
      <c r="H303" s="217"/>
      <c r="I303" s="217"/>
      <c r="J303" s="217"/>
      <c r="K303" s="217"/>
      <c r="L303" s="1"/>
      <c r="M303" s="1"/>
      <c r="N303" s="1"/>
      <c r="O303" s="1"/>
      <c r="P303" s="1" t="s">
        <v>65</v>
      </c>
      <c r="Q303" s="1" t="s">
        <v>67</v>
      </c>
      <c r="R303" s="1"/>
      <c r="S303" s="1" t="s">
        <v>67</v>
      </c>
      <c r="T303" s="1" t="s">
        <v>100</v>
      </c>
      <c r="U303" s="1" t="s">
        <v>101</v>
      </c>
      <c r="V303" s="1"/>
      <c r="W303" s="1"/>
      <c r="X303" s="1"/>
      <c r="Y303" s="1"/>
      <c r="Z303" s="1"/>
      <c r="AA303" s="1"/>
      <c r="AB303" s="1"/>
      <c r="AC303" s="1"/>
      <c r="AD303" s="1"/>
    </row>
    <row r="304" spans="1:30" s="2" customFormat="1" x14ac:dyDescent="0.2">
      <c r="A304" s="155"/>
      <c r="B304" s="217" t="e">
        <f>$P$310</f>
        <v>#REF!</v>
      </c>
      <c r="C304" s="217" t="e">
        <f>V309</f>
        <v>#REF!</v>
      </c>
      <c r="D304" s="216"/>
      <c r="E304" s="216"/>
      <c r="F304" s="216"/>
      <c r="G304" s="216"/>
      <c r="H304" s="217"/>
      <c r="I304" s="217"/>
      <c r="J304" s="217"/>
      <c r="K304" s="217"/>
      <c r="L304" s="1"/>
      <c r="M304" s="1"/>
      <c r="N304" s="1"/>
      <c r="O304" s="1"/>
      <c r="P304" s="10">
        <f>MATCH(0,'Hidden calcs1'!$D$259:$Z$259,1)</f>
        <v>23</v>
      </c>
      <c r="Q304" s="10" t="e">
        <f>INDEX('Hidden calcs1'!$D$2:$Z$259,ROW('Hidden calcs1'!D259)-1,P304+1)</f>
        <v>#REF!</v>
      </c>
      <c r="R304" s="1"/>
      <c r="S304" s="10">
        <f>MATCH(0,'Hidden calcs1'!$D$259:$Z$259,1)</f>
        <v>23</v>
      </c>
      <c r="T304" s="10" t="e">
        <f>INDEX('Hidden calcs1'!$D$2:$Z$259,ROW('Hidden calcs1'!D228),S304+1)</f>
        <v>#REF!</v>
      </c>
      <c r="U304" s="10" t="e">
        <f>INDEX('Hidden calcs1'!$D$2:$Z$259,ROW('Hidden calcs1'!D144),S304+1)</f>
        <v>#REF!</v>
      </c>
      <c r="V304" s="1"/>
      <c r="W304" s="1"/>
      <c r="X304" s="1"/>
      <c r="Y304" s="1"/>
      <c r="Z304" s="1"/>
      <c r="AA304" s="1"/>
      <c r="AB304" s="1"/>
      <c r="AC304" s="1"/>
      <c r="AD304" s="1"/>
    </row>
    <row r="305" spans="1:30" s="2" customFormat="1" x14ac:dyDescent="0.2">
      <c r="A305" s="121"/>
      <c r="B305" s="225"/>
      <c r="C305" s="225"/>
      <c r="D305" s="216"/>
      <c r="E305" s="216"/>
      <c r="F305" s="216"/>
      <c r="G305" s="217" t="e">
        <f>npv_year_zero</f>
        <v>#N/A</v>
      </c>
      <c r="H305" s="217"/>
      <c r="I305" s="217"/>
      <c r="J305" s="217"/>
      <c r="K305" s="217"/>
      <c r="L305" s="1"/>
      <c r="M305" s="1"/>
      <c r="N305" s="1"/>
      <c r="O305" s="1"/>
      <c r="P305" s="1" t="s">
        <v>66</v>
      </c>
      <c r="Q305" s="1" t="s">
        <v>68</v>
      </c>
      <c r="R305" s="1"/>
      <c r="S305" s="1" t="s">
        <v>68</v>
      </c>
      <c r="T305" s="1" t="s">
        <v>102</v>
      </c>
      <c r="U305" s="1" t="s">
        <v>103</v>
      </c>
      <c r="V305" s="1"/>
      <c r="W305" s="1"/>
      <c r="X305" s="1"/>
      <c r="Y305" s="1"/>
      <c r="Z305" s="1"/>
      <c r="AA305" s="1"/>
      <c r="AB305" s="1"/>
      <c r="AC305" s="1"/>
      <c r="AD305" s="1"/>
    </row>
    <row r="306" spans="1:30" s="2" customFormat="1" x14ac:dyDescent="0.2">
      <c r="A306" s="153" t="s">
        <v>71</v>
      </c>
      <c r="B306" s="121"/>
      <c r="C306" s="121"/>
      <c r="D306" s="122"/>
      <c r="E306" s="122"/>
      <c r="F306" s="122"/>
      <c r="G306" s="122"/>
      <c r="H306" s="123"/>
      <c r="I306" s="123"/>
      <c r="J306" s="123"/>
      <c r="K306" s="123"/>
      <c r="L306" s="1"/>
      <c r="M306" s="1"/>
      <c r="N306" s="1"/>
      <c r="O306" s="1"/>
      <c r="P306" s="10">
        <f>P304-1</f>
        <v>22</v>
      </c>
      <c r="Q306" s="10">
        <f>INDEX('Hidden calcs1'!$D$2:$Z$259,ROW('Hidden calcs1'!D259)-1,P306+1)</f>
        <v>0</v>
      </c>
      <c r="R306" s="1"/>
      <c r="S306" s="10">
        <f>S304-1</f>
        <v>22</v>
      </c>
      <c r="T306" s="10">
        <f>INDEX('Hidden calcs1'!$D$2:$Z$259,ROW('Hidden calcs1'!D228),S306+1)</f>
        <v>0</v>
      </c>
      <c r="U306" s="10">
        <f>INDEX('Hidden calcs1'!$D$2:$Z$259,ROW('Hidden calcs1'!D144),S306+1)</f>
        <v>0</v>
      </c>
      <c r="V306" s="10"/>
      <c r="W306" s="1"/>
      <c r="X306" s="1"/>
      <c r="Y306" s="1"/>
      <c r="Z306" s="1"/>
      <c r="AA306" s="1"/>
      <c r="AB306" s="1"/>
      <c r="AC306" s="1"/>
      <c r="AD306" s="1"/>
    </row>
    <row r="307" spans="1:30" s="2" customFormat="1" x14ac:dyDescent="0.2">
      <c r="A307" s="168" t="s">
        <v>61</v>
      </c>
      <c r="B307" s="185"/>
      <c r="C307" s="121"/>
      <c r="D307" s="122"/>
      <c r="E307" s="122"/>
      <c r="F307" s="122"/>
      <c r="G307" s="122"/>
      <c r="H307" s="123"/>
      <c r="I307" s="123"/>
      <c r="J307" s="123"/>
      <c r="K307" s="123"/>
      <c r="L307" s="1"/>
      <c r="M307" s="1"/>
      <c r="N307" s="1"/>
      <c r="O307" s="1"/>
      <c r="P307" s="1"/>
      <c r="Q307" s="1"/>
      <c r="R307" s="1"/>
      <c r="S307" s="1"/>
      <c r="T307" s="1"/>
      <c r="U307" s="1"/>
      <c r="V307" s="1"/>
      <c r="W307" s="1"/>
      <c r="X307" s="1"/>
      <c r="Y307" s="1"/>
      <c r="Z307" s="1"/>
      <c r="AA307" s="1"/>
      <c r="AB307" s="1"/>
      <c r="AC307" s="1"/>
      <c r="AD307" s="1"/>
    </row>
    <row r="308" spans="1:30" s="2" customFormat="1" x14ac:dyDescent="0.2">
      <c r="A308" s="155" t="s">
        <v>97</v>
      </c>
      <c r="B308" s="129" t="e">
        <f>HLOOKUP(Calculator!B307,'Hidden calcs1'!D2:Z303,ROW('Hidden calcs1'!D144),FALSE)</f>
        <v>#N/A</v>
      </c>
      <c r="C308" s="121"/>
      <c r="D308" s="122"/>
      <c r="E308" s="122"/>
      <c r="F308" s="122"/>
      <c r="G308" s="122"/>
      <c r="H308" s="123"/>
      <c r="I308" s="123"/>
      <c r="J308" s="123"/>
      <c r="K308" s="123"/>
      <c r="L308" s="1"/>
      <c r="M308" s="1"/>
      <c r="N308" s="1"/>
      <c r="O308" s="1"/>
      <c r="P308" s="1" t="s">
        <v>94</v>
      </c>
      <c r="Q308" s="1"/>
      <c r="R308" s="1"/>
      <c r="S308" s="1"/>
      <c r="T308" s="1" t="s">
        <v>104</v>
      </c>
      <c r="U308" s="1" t="s">
        <v>105</v>
      </c>
      <c r="V308" s="1" t="s">
        <v>106</v>
      </c>
      <c r="W308" s="1"/>
      <c r="X308" s="1"/>
      <c r="Y308" s="1"/>
      <c r="Z308" s="1"/>
      <c r="AA308" s="1"/>
      <c r="AB308" s="1"/>
      <c r="AC308" s="1"/>
      <c r="AD308" s="1"/>
    </row>
    <row r="309" spans="1:30" s="2" customFormat="1" x14ac:dyDescent="0.2">
      <c r="A309" s="155" t="s">
        <v>84</v>
      </c>
      <c r="B309" s="129" t="e">
        <f>HLOOKUP(Calculator!B307,'Hidden calcs1'!D2:Z303,ROW('Hidden calcs1'!D228),FALSE)</f>
        <v>#N/A</v>
      </c>
      <c r="C309" s="121"/>
      <c r="D309" s="122"/>
      <c r="E309" s="122"/>
      <c r="F309" s="122"/>
      <c r="G309" s="122"/>
      <c r="H309" s="123"/>
      <c r="I309" s="123"/>
      <c r="J309" s="123"/>
      <c r="K309" s="123"/>
      <c r="L309" s="1"/>
      <c r="M309" s="1"/>
      <c r="N309" s="1"/>
      <c r="O309" s="1"/>
      <c r="P309" s="1" t="e">
        <f>((P304-P306)/(Q304-Q306))*(0-Q306)+P306</f>
        <v>#REF!</v>
      </c>
      <c r="Q309" s="1"/>
      <c r="R309" s="1"/>
      <c r="S309" s="1"/>
      <c r="T309" s="10" t="e">
        <f>((T304-T306)/($S$304-$S$306))*($P$309-$S$306)+T306</f>
        <v>#REF!</v>
      </c>
      <c r="U309" s="10" t="e">
        <f>((U304-U306)/($S$304-$S$306))*($P$309-$S$306)+U306</f>
        <v>#REF!</v>
      </c>
      <c r="V309" s="10" t="e">
        <f>AVERAGE(T309:U309)</f>
        <v>#REF!</v>
      </c>
      <c r="W309" s="1"/>
      <c r="X309" s="1"/>
      <c r="Y309" s="1"/>
      <c r="Z309" s="1"/>
      <c r="AA309" s="1"/>
      <c r="AB309" s="1"/>
      <c r="AC309" s="1"/>
      <c r="AD309" s="1"/>
    </row>
    <row r="310" spans="1:30" s="2" customFormat="1" x14ac:dyDescent="0.2">
      <c r="A310" s="155" t="s">
        <v>85</v>
      </c>
      <c r="B310" s="129" t="e">
        <f>B308-B309</f>
        <v>#N/A</v>
      </c>
      <c r="C310" s="121"/>
      <c r="D310" s="122"/>
      <c r="E310" s="122"/>
      <c r="F310" s="122"/>
      <c r="G310" s="122"/>
      <c r="H310" s="123"/>
      <c r="I310" s="123"/>
      <c r="J310" s="123"/>
      <c r="K310" s="123"/>
      <c r="L310" s="1"/>
      <c r="M310" s="1"/>
      <c r="N310" s="1"/>
      <c r="O310" s="1"/>
      <c r="P310" s="1" t="e">
        <f>2013+$P$309</f>
        <v>#REF!</v>
      </c>
      <c r="Q310" s="1"/>
      <c r="R310" s="1"/>
      <c r="S310" s="1"/>
      <c r="T310" s="1"/>
      <c r="U310" s="1"/>
      <c r="V310" s="1"/>
      <c r="W310" s="1"/>
      <c r="X310" s="1"/>
      <c r="Y310" s="1"/>
      <c r="Z310" s="1"/>
      <c r="AA310" s="1"/>
      <c r="AB310" s="1"/>
      <c r="AC310" s="1"/>
      <c r="AD310" s="1"/>
    </row>
    <row r="311" spans="1:30" s="2" customFormat="1" x14ac:dyDescent="0.2">
      <c r="A311" s="239" t="s">
        <v>80</v>
      </c>
      <c r="B311" s="239"/>
      <c r="C311" s="239"/>
      <c r="D311" s="239"/>
      <c r="E311" s="239"/>
      <c r="F311" s="239"/>
      <c r="G311" s="239"/>
      <c r="H311" s="239"/>
      <c r="I311" s="239"/>
      <c r="J311" s="239"/>
      <c r="K311" s="239"/>
      <c r="L311" s="1"/>
      <c r="M311" s="1"/>
      <c r="N311" s="1"/>
      <c r="O311" s="1"/>
      <c r="P311" s="1"/>
      <c r="Q311" s="1"/>
      <c r="R311" s="1"/>
      <c r="S311" s="1"/>
      <c r="T311" s="1"/>
      <c r="U311" s="1"/>
      <c r="V311" s="1"/>
      <c r="W311" s="1"/>
      <c r="X311" s="1"/>
      <c r="Y311" s="1"/>
      <c r="Z311" s="1"/>
      <c r="AA311" s="1"/>
      <c r="AB311" s="1"/>
      <c r="AC311" s="1"/>
      <c r="AD311" s="1"/>
    </row>
    <row r="312" spans="1:30" s="2" customFormat="1" x14ac:dyDescent="0.2">
      <c r="A312" s="121"/>
      <c r="B312" s="121"/>
      <c r="C312" s="121"/>
      <c r="D312" s="122"/>
      <c r="E312" s="122"/>
      <c r="F312" s="122"/>
      <c r="G312" s="122"/>
      <c r="H312" s="123"/>
      <c r="I312" s="123"/>
      <c r="J312" s="123"/>
      <c r="K312" s="123"/>
      <c r="L312" s="1"/>
      <c r="M312" s="1"/>
      <c r="N312" s="1"/>
      <c r="O312" s="1"/>
      <c r="P312" s="1"/>
      <c r="Q312" s="1"/>
      <c r="R312" s="1"/>
      <c r="S312" s="1"/>
      <c r="T312" s="1"/>
      <c r="U312" s="1"/>
      <c r="V312" s="1"/>
      <c r="W312" s="1"/>
      <c r="X312" s="1"/>
      <c r="Y312" s="1"/>
      <c r="Z312" s="1"/>
      <c r="AA312" s="1"/>
      <c r="AB312" s="1"/>
      <c r="AC312" s="1"/>
      <c r="AD312" s="1"/>
    </row>
    <row r="313" spans="1:30" s="2" customFormat="1" x14ac:dyDescent="0.2">
      <c r="A313" s="121"/>
      <c r="B313" s="121"/>
      <c r="C313" s="121"/>
      <c r="D313" s="122"/>
      <c r="E313" s="122"/>
      <c r="F313" s="122"/>
      <c r="G313" s="122"/>
      <c r="H313" s="123"/>
      <c r="I313" s="123"/>
      <c r="J313" s="123"/>
      <c r="K313" s="123"/>
      <c r="L313" s="1"/>
      <c r="M313" s="1"/>
      <c r="N313" s="1"/>
      <c r="O313" s="1"/>
      <c r="P313" s="1"/>
      <c r="Q313" s="1"/>
      <c r="R313" s="1"/>
      <c r="S313" s="1"/>
      <c r="T313" s="1"/>
      <c r="U313" s="1"/>
      <c r="V313" s="1"/>
      <c r="W313" s="1"/>
      <c r="X313" s="1"/>
      <c r="Y313" s="1"/>
      <c r="Z313" s="1"/>
      <c r="AA313" s="1"/>
      <c r="AB313" s="1"/>
      <c r="AC313" s="1"/>
      <c r="AD313" s="1"/>
    </row>
    <row r="314" spans="1:30" s="2" customFormat="1" x14ac:dyDescent="0.2">
      <c r="A314" s="121"/>
      <c r="B314" s="121"/>
      <c r="C314" s="121"/>
      <c r="D314" s="122"/>
      <c r="E314" s="122"/>
      <c r="F314" s="122"/>
      <c r="G314" s="122"/>
      <c r="H314" s="123"/>
      <c r="I314" s="123"/>
      <c r="J314" s="123"/>
      <c r="K314" s="123"/>
      <c r="L314" s="1"/>
      <c r="M314" s="1"/>
      <c r="N314" s="1"/>
      <c r="O314" s="1"/>
      <c r="P314" s="1"/>
      <c r="Q314" s="1"/>
      <c r="R314" s="1"/>
      <c r="S314" s="1"/>
      <c r="T314" s="1"/>
      <c r="U314" s="1"/>
      <c r="V314" s="1"/>
      <c r="W314" s="1"/>
      <c r="X314" s="1"/>
      <c r="Y314" s="1"/>
      <c r="Z314" s="1"/>
      <c r="AA314" s="1"/>
      <c r="AB314" s="1"/>
      <c r="AC314" s="1"/>
      <c r="AD314" s="1"/>
    </row>
    <row r="315" spans="1:30" s="2" customFormat="1" x14ac:dyDescent="0.2">
      <c r="A315" s="121"/>
      <c r="B315" s="121"/>
      <c r="C315" s="121"/>
      <c r="D315" s="122"/>
      <c r="E315" s="122"/>
      <c r="F315" s="122"/>
      <c r="G315" s="122"/>
      <c r="H315" s="123"/>
      <c r="I315" s="123"/>
      <c r="J315" s="123"/>
      <c r="K315" s="123"/>
      <c r="L315" s="1"/>
      <c r="M315" s="1"/>
      <c r="N315" s="1"/>
      <c r="O315" s="1"/>
      <c r="P315" s="1"/>
      <c r="Q315" s="1"/>
      <c r="R315" s="1"/>
      <c r="S315" s="1"/>
      <c r="T315" s="1"/>
      <c r="U315" s="1"/>
      <c r="V315" s="1"/>
      <c r="W315" s="1"/>
      <c r="X315" s="1"/>
      <c r="Y315" s="1"/>
      <c r="Z315" s="1"/>
      <c r="AA315" s="1"/>
      <c r="AB315" s="1"/>
      <c r="AC315" s="1"/>
      <c r="AD315" s="1"/>
    </row>
    <row r="316" spans="1:30" s="2" customFormat="1" x14ac:dyDescent="0.2">
      <c r="A316" s="121"/>
      <c r="B316" s="121"/>
      <c r="C316" s="121"/>
      <c r="D316" s="122"/>
      <c r="E316" s="122"/>
      <c r="F316" s="122"/>
      <c r="G316" s="122"/>
      <c r="H316" s="123"/>
      <c r="I316" s="123"/>
      <c r="J316" s="123"/>
      <c r="K316" s="123"/>
      <c r="L316" s="1"/>
      <c r="M316" s="1"/>
      <c r="N316" s="1"/>
      <c r="O316" s="1"/>
      <c r="P316" s="1"/>
      <c r="Q316" s="1"/>
      <c r="R316" s="1"/>
      <c r="S316" s="1"/>
      <c r="T316" s="1"/>
      <c r="U316" s="1"/>
      <c r="V316" s="1"/>
      <c r="W316" s="1"/>
      <c r="X316" s="1"/>
      <c r="Y316" s="1"/>
      <c r="Z316" s="1"/>
      <c r="AA316" s="1"/>
      <c r="AB316" s="1"/>
      <c r="AC316" s="1"/>
      <c r="AD316" s="1"/>
    </row>
    <row r="317" spans="1:30" s="2" customFormat="1" x14ac:dyDescent="0.2">
      <c r="A317" s="121"/>
      <c r="B317" s="121"/>
      <c r="C317" s="121"/>
      <c r="D317" s="122"/>
      <c r="E317" s="122"/>
      <c r="F317" s="122"/>
      <c r="G317" s="122"/>
      <c r="H317" s="123"/>
      <c r="I317" s="123"/>
      <c r="J317" s="123"/>
      <c r="K317" s="123"/>
      <c r="L317" s="1"/>
      <c r="M317" s="1"/>
      <c r="N317" s="1"/>
      <c r="O317" s="1"/>
      <c r="P317" s="1"/>
      <c r="Q317" s="1"/>
      <c r="R317" s="1"/>
      <c r="S317" s="1"/>
      <c r="T317" s="1"/>
      <c r="U317" s="1"/>
      <c r="V317" s="1"/>
      <c r="W317" s="1"/>
      <c r="X317" s="1"/>
      <c r="Y317" s="1"/>
      <c r="Z317" s="1"/>
      <c r="AA317" s="1"/>
      <c r="AB317" s="1"/>
      <c r="AC317" s="1"/>
      <c r="AD317" s="1"/>
    </row>
    <row r="318" spans="1:30" s="2" customFormat="1" x14ac:dyDescent="0.2">
      <c r="A318" s="121"/>
      <c r="B318" s="121"/>
      <c r="C318" s="121"/>
      <c r="D318" s="122"/>
      <c r="E318" s="122"/>
      <c r="F318" s="122"/>
      <c r="G318" s="122"/>
      <c r="H318" s="123"/>
      <c r="I318" s="123"/>
      <c r="J318" s="123"/>
      <c r="K318" s="123"/>
      <c r="L318" s="1"/>
      <c r="M318" s="1"/>
      <c r="N318" s="1"/>
      <c r="O318" s="1"/>
      <c r="P318" s="1"/>
      <c r="Q318" s="1"/>
      <c r="R318" s="1"/>
      <c r="S318" s="1"/>
      <c r="T318" s="1"/>
      <c r="U318" s="1"/>
      <c r="V318" s="1"/>
      <c r="W318" s="1"/>
      <c r="X318" s="1"/>
      <c r="Y318" s="1"/>
      <c r="Z318" s="1"/>
      <c r="AA318" s="1"/>
      <c r="AB318" s="1"/>
      <c r="AC318" s="1"/>
      <c r="AD318" s="1"/>
    </row>
    <row r="319" spans="1:30" s="2" customFormat="1" x14ac:dyDescent="0.2">
      <c r="A319" s="121"/>
      <c r="B319" s="121"/>
      <c r="C319" s="121"/>
      <c r="D319" s="122"/>
      <c r="E319" s="122"/>
      <c r="F319" s="122"/>
      <c r="G319" s="122"/>
      <c r="H319" s="123"/>
      <c r="I319" s="123"/>
      <c r="J319" s="123"/>
      <c r="K319" s="123"/>
      <c r="L319" s="1"/>
      <c r="M319" s="1"/>
      <c r="N319" s="1"/>
      <c r="O319" s="1"/>
      <c r="P319" s="1"/>
      <c r="Q319" s="1"/>
      <c r="R319" s="1"/>
      <c r="S319" s="1"/>
      <c r="T319" s="1"/>
      <c r="U319" s="1"/>
      <c r="V319" s="1"/>
      <c r="W319" s="1"/>
      <c r="X319" s="1"/>
      <c r="Y319" s="1"/>
      <c r="Z319" s="1"/>
      <c r="AA319" s="1"/>
      <c r="AB319" s="1"/>
      <c r="AC319" s="1"/>
      <c r="AD319" s="1"/>
    </row>
    <row r="320" spans="1:30" s="2" customFormat="1" x14ac:dyDescent="0.2">
      <c r="A320" s="121"/>
      <c r="B320" s="121"/>
      <c r="C320" s="121"/>
      <c r="D320" s="122"/>
      <c r="E320" s="122"/>
      <c r="F320" s="122"/>
      <c r="G320" s="122"/>
      <c r="H320" s="123"/>
      <c r="I320" s="123"/>
      <c r="J320" s="123"/>
      <c r="K320" s="123"/>
      <c r="L320" s="1"/>
      <c r="M320" s="1"/>
      <c r="N320" s="1"/>
      <c r="O320" s="1"/>
      <c r="P320" s="1"/>
      <c r="Q320" s="1"/>
      <c r="R320" s="1"/>
      <c r="S320" s="1"/>
      <c r="T320" s="1"/>
      <c r="U320" s="1"/>
      <c r="V320" s="1"/>
      <c r="W320" s="1"/>
      <c r="X320" s="1"/>
      <c r="Y320" s="1"/>
      <c r="Z320" s="1"/>
      <c r="AA320" s="1"/>
      <c r="AB320" s="1"/>
      <c r="AC320" s="1"/>
      <c r="AD320" s="1"/>
    </row>
    <row r="321" spans="1:30" s="2" customFormat="1" x14ac:dyDescent="0.2">
      <c r="A321" s="121"/>
      <c r="B321" s="121"/>
      <c r="C321" s="121"/>
      <c r="D321" s="122"/>
      <c r="E321" s="122"/>
      <c r="F321" s="122"/>
      <c r="G321" s="122"/>
      <c r="H321" s="123"/>
      <c r="I321" s="123"/>
      <c r="J321" s="123"/>
      <c r="K321" s="123"/>
      <c r="L321" s="1"/>
      <c r="M321" s="1"/>
      <c r="N321" s="1"/>
      <c r="O321" s="1"/>
      <c r="P321" s="1"/>
      <c r="Q321" s="1"/>
      <c r="R321" s="1"/>
      <c r="S321" s="1"/>
      <c r="T321" s="1"/>
      <c r="U321" s="1"/>
      <c r="V321" s="1"/>
      <c r="W321" s="1"/>
      <c r="X321" s="1"/>
      <c r="Y321" s="1"/>
      <c r="Z321" s="1"/>
      <c r="AA321" s="1"/>
      <c r="AB321" s="1"/>
      <c r="AC321" s="1"/>
      <c r="AD321" s="1"/>
    </row>
    <row r="322" spans="1:30" s="2" customFormat="1" x14ac:dyDescent="0.2">
      <c r="A322" s="121"/>
      <c r="B322" s="121"/>
      <c r="C322" s="121"/>
      <c r="D322" s="122"/>
      <c r="E322" s="122"/>
      <c r="F322" s="122"/>
      <c r="G322" s="122"/>
      <c r="H322" s="123"/>
      <c r="I322" s="123"/>
      <c r="J322" s="123"/>
      <c r="K322" s="123"/>
      <c r="L322" s="1"/>
      <c r="M322" s="1"/>
      <c r="N322" s="1"/>
      <c r="O322" s="1"/>
      <c r="P322" s="1"/>
      <c r="Q322" s="1"/>
      <c r="R322" s="1"/>
      <c r="S322" s="1"/>
      <c r="T322" s="1"/>
      <c r="U322" s="1"/>
      <c r="V322" s="1"/>
      <c r="W322" s="1"/>
      <c r="X322" s="1"/>
      <c r="Y322" s="1"/>
      <c r="Z322" s="1"/>
      <c r="AA322" s="1"/>
      <c r="AB322" s="1"/>
      <c r="AC322" s="1"/>
      <c r="AD322" s="1"/>
    </row>
    <row r="323" spans="1:30" s="2" customFormat="1" x14ac:dyDescent="0.2">
      <c r="A323" s="121"/>
      <c r="B323" s="121"/>
      <c r="C323" s="121"/>
      <c r="D323" s="122"/>
      <c r="E323" s="122"/>
      <c r="F323" s="122"/>
      <c r="G323" s="122"/>
      <c r="H323" s="123"/>
      <c r="I323" s="123"/>
      <c r="J323" s="123"/>
      <c r="K323" s="123"/>
      <c r="L323" s="1"/>
      <c r="M323" s="1"/>
      <c r="N323" s="1"/>
      <c r="O323" s="1"/>
      <c r="P323" s="1"/>
      <c r="Q323" s="1"/>
      <c r="R323" s="1"/>
      <c r="S323" s="1"/>
      <c r="T323" s="1"/>
      <c r="U323" s="1"/>
      <c r="V323" s="1"/>
      <c r="W323" s="1"/>
      <c r="X323" s="1"/>
      <c r="Y323" s="1"/>
      <c r="Z323" s="1"/>
      <c r="AA323" s="1"/>
      <c r="AB323" s="1"/>
      <c r="AC323" s="1"/>
      <c r="AD323" s="1"/>
    </row>
    <row r="324" spans="1:30" s="2" customFormat="1" x14ac:dyDescent="0.2">
      <c r="A324" s="121"/>
      <c r="B324" s="121"/>
      <c r="C324" s="121"/>
      <c r="D324" s="122"/>
      <c r="E324" s="122"/>
      <c r="F324" s="122"/>
      <c r="G324" s="122"/>
      <c r="H324" s="123"/>
      <c r="I324" s="123"/>
      <c r="J324" s="123"/>
      <c r="K324" s="123"/>
      <c r="L324" s="1"/>
      <c r="M324" s="1"/>
      <c r="N324" s="1"/>
      <c r="O324" s="1"/>
      <c r="P324" s="1"/>
      <c r="Q324" s="1"/>
      <c r="R324" s="1"/>
      <c r="S324" s="1"/>
      <c r="T324" s="1"/>
      <c r="U324" s="1"/>
      <c r="V324" s="1"/>
      <c r="W324" s="1"/>
      <c r="X324" s="1"/>
      <c r="Y324" s="1"/>
      <c r="Z324" s="1"/>
      <c r="AA324" s="1"/>
      <c r="AB324" s="1"/>
      <c r="AC324" s="1"/>
      <c r="AD324" s="1"/>
    </row>
    <row r="325" spans="1:30" s="2" customFormat="1" x14ac:dyDescent="0.2">
      <c r="A325" s="121"/>
      <c r="B325" s="121"/>
      <c r="C325" s="121"/>
      <c r="D325" s="122"/>
      <c r="E325" s="122"/>
      <c r="F325" s="122"/>
      <c r="G325" s="122"/>
      <c r="H325" s="123"/>
      <c r="I325" s="123"/>
      <c r="J325" s="123"/>
      <c r="K325" s="123"/>
      <c r="L325" s="1"/>
      <c r="M325" s="1"/>
      <c r="N325" s="1"/>
      <c r="O325" s="1"/>
      <c r="P325" s="1"/>
      <c r="Q325" s="1"/>
      <c r="R325" s="1"/>
      <c r="S325" s="1"/>
      <c r="T325" s="1"/>
      <c r="U325" s="1"/>
      <c r="V325" s="1"/>
      <c r="W325" s="1"/>
      <c r="X325" s="1"/>
      <c r="Y325" s="1"/>
      <c r="Z325" s="1"/>
      <c r="AA325" s="1"/>
      <c r="AB325" s="1"/>
      <c r="AC325" s="1"/>
      <c r="AD325" s="1"/>
    </row>
    <row r="326" spans="1:30" s="2" customFormat="1" x14ac:dyDescent="0.2">
      <c r="A326" s="121"/>
      <c r="B326" s="121"/>
      <c r="C326" s="121"/>
      <c r="D326" s="122"/>
      <c r="E326" s="122"/>
      <c r="F326" s="122"/>
      <c r="G326" s="122"/>
      <c r="H326" s="123"/>
      <c r="I326" s="123"/>
      <c r="J326" s="123"/>
      <c r="K326" s="123"/>
      <c r="L326" s="1"/>
      <c r="M326" s="1"/>
      <c r="N326" s="1"/>
      <c r="O326" s="1"/>
      <c r="P326" s="1"/>
      <c r="Q326" s="1"/>
      <c r="R326" s="1"/>
      <c r="S326" s="1"/>
      <c r="T326" s="1"/>
      <c r="U326" s="1"/>
      <c r="V326" s="1"/>
      <c r="W326" s="1"/>
      <c r="X326" s="1"/>
      <c r="Y326" s="1"/>
      <c r="Z326" s="1"/>
      <c r="AA326" s="1"/>
      <c r="AB326" s="1"/>
      <c r="AC326" s="1"/>
      <c r="AD326" s="1"/>
    </row>
    <row r="327" spans="1:30" s="2" customFormat="1" x14ac:dyDescent="0.2">
      <c r="A327" s="121"/>
      <c r="B327" s="121"/>
      <c r="C327" s="121"/>
      <c r="D327" s="122"/>
      <c r="E327" s="122"/>
      <c r="F327" s="122"/>
      <c r="G327" s="122"/>
      <c r="H327" s="123"/>
      <c r="I327" s="123"/>
      <c r="J327" s="123"/>
      <c r="K327" s="123"/>
      <c r="L327" s="1"/>
      <c r="M327" s="1"/>
      <c r="N327" s="1"/>
      <c r="O327" s="1"/>
      <c r="P327" s="1"/>
      <c r="Q327" s="1"/>
      <c r="R327" s="1"/>
      <c r="S327" s="1"/>
      <c r="T327" s="1"/>
      <c r="U327" s="1"/>
      <c r="V327" s="1"/>
      <c r="W327" s="1"/>
      <c r="X327" s="1"/>
      <c r="Y327" s="1"/>
      <c r="Z327" s="1"/>
      <c r="AA327" s="1"/>
      <c r="AB327" s="1"/>
      <c r="AC327" s="1"/>
      <c r="AD327" s="1"/>
    </row>
    <row r="328" spans="1:30" s="2" customFormat="1" x14ac:dyDescent="0.2">
      <c r="A328" s="121"/>
      <c r="B328" s="121"/>
      <c r="C328" s="121"/>
      <c r="D328" s="122"/>
      <c r="E328" s="122"/>
      <c r="F328" s="122"/>
      <c r="G328" s="122"/>
      <c r="H328" s="123"/>
      <c r="I328" s="123"/>
      <c r="J328" s="123"/>
      <c r="K328" s="123"/>
      <c r="L328" s="1"/>
      <c r="M328" s="1"/>
      <c r="N328" s="1"/>
      <c r="O328" s="1"/>
      <c r="P328" s="1"/>
      <c r="Q328" s="1"/>
      <c r="R328" s="1"/>
      <c r="S328" s="1"/>
      <c r="T328" s="1"/>
      <c r="U328" s="1"/>
      <c r="V328" s="1"/>
      <c r="W328" s="1"/>
      <c r="X328" s="1"/>
      <c r="Y328" s="1"/>
      <c r="Z328" s="1"/>
      <c r="AA328" s="1"/>
      <c r="AB328" s="1"/>
      <c r="AC328" s="1"/>
      <c r="AD328" s="1"/>
    </row>
    <row r="329" spans="1:30" s="2" customFormat="1" x14ac:dyDescent="0.2">
      <c r="A329" s="121"/>
      <c r="B329" s="121"/>
      <c r="C329" s="121"/>
      <c r="D329" s="122"/>
      <c r="E329" s="122"/>
      <c r="F329" s="122"/>
      <c r="G329" s="122"/>
      <c r="H329" s="123"/>
      <c r="I329" s="123"/>
      <c r="J329" s="123"/>
      <c r="K329" s="123"/>
      <c r="L329" s="1"/>
      <c r="M329" s="1"/>
      <c r="N329" s="1"/>
      <c r="O329" s="1"/>
      <c r="P329" s="1"/>
      <c r="Q329" s="1"/>
      <c r="R329" s="1"/>
      <c r="S329" s="1"/>
      <c r="T329" s="1"/>
      <c r="U329" s="1"/>
      <c r="V329" s="1"/>
      <c r="W329" s="1"/>
      <c r="X329" s="1"/>
      <c r="Y329" s="1"/>
      <c r="Z329" s="1"/>
      <c r="AA329" s="1"/>
      <c r="AB329" s="1"/>
      <c r="AC329" s="1"/>
      <c r="AD329" s="1"/>
    </row>
    <row r="330" spans="1:30" s="2" customFormat="1" x14ac:dyDescent="0.2">
      <c r="A330" s="121"/>
      <c r="B330" s="121"/>
      <c r="C330" s="121"/>
      <c r="D330" s="122"/>
      <c r="E330" s="122"/>
      <c r="F330" s="122"/>
      <c r="G330" s="122"/>
      <c r="H330" s="123"/>
      <c r="I330" s="123"/>
      <c r="J330" s="123"/>
      <c r="K330" s="123"/>
      <c r="L330" s="1"/>
      <c r="M330" s="1"/>
      <c r="N330" s="1"/>
      <c r="O330" s="1"/>
      <c r="P330" s="1"/>
      <c r="Q330" s="1"/>
      <c r="R330" s="1"/>
      <c r="S330" s="1"/>
      <c r="T330" s="1"/>
      <c r="U330" s="1"/>
      <c r="V330" s="1"/>
      <c r="W330" s="1"/>
      <c r="X330" s="1"/>
      <c r="Y330" s="1"/>
      <c r="Z330" s="1"/>
      <c r="AA330" s="1"/>
      <c r="AB330" s="1"/>
      <c r="AC330" s="1"/>
      <c r="AD330" s="1"/>
    </row>
    <row r="331" spans="1:30" s="2" customFormat="1" x14ac:dyDescent="0.2">
      <c r="A331" s="121"/>
      <c r="B331" s="121"/>
      <c r="C331" s="121"/>
      <c r="D331" s="122"/>
      <c r="E331" s="122"/>
      <c r="F331" s="122"/>
      <c r="G331" s="122"/>
      <c r="H331" s="123"/>
      <c r="I331" s="123"/>
      <c r="J331" s="123"/>
      <c r="K331" s="123"/>
      <c r="L331" s="1"/>
      <c r="M331" s="1"/>
      <c r="N331" s="1"/>
      <c r="O331" s="1"/>
      <c r="P331" s="1"/>
      <c r="Q331" s="1"/>
      <c r="R331" s="1"/>
      <c r="S331" s="1"/>
      <c r="T331" s="1"/>
      <c r="U331" s="1"/>
      <c r="V331" s="1"/>
      <c r="W331" s="1"/>
      <c r="X331" s="1"/>
      <c r="Y331" s="1"/>
      <c r="Z331" s="1"/>
      <c r="AA331" s="1"/>
      <c r="AB331" s="1"/>
      <c r="AC331" s="1"/>
      <c r="AD331" s="1"/>
    </row>
    <row r="332" spans="1:30" s="2" customFormat="1" x14ac:dyDescent="0.2">
      <c r="A332" s="121"/>
      <c r="B332" s="121"/>
      <c r="C332" s="121"/>
      <c r="D332" s="122"/>
      <c r="E332" s="122"/>
      <c r="F332" s="122"/>
      <c r="G332" s="122"/>
      <c r="H332" s="123"/>
      <c r="I332" s="123"/>
      <c r="J332" s="123"/>
      <c r="K332" s="123"/>
      <c r="L332" s="1"/>
      <c r="M332" s="1"/>
      <c r="N332" s="1"/>
      <c r="O332" s="1"/>
      <c r="P332" s="1"/>
      <c r="Q332" s="1"/>
      <c r="R332" s="1"/>
      <c r="S332" s="1"/>
      <c r="T332" s="1"/>
      <c r="U332" s="1"/>
      <c r="V332" s="1"/>
      <c r="W332" s="1"/>
      <c r="X332" s="1"/>
      <c r="Y332" s="1"/>
      <c r="Z332" s="1"/>
      <c r="AA332" s="1"/>
      <c r="AB332" s="1"/>
      <c r="AC332" s="1"/>
      <c r="AD332" s="1"/>
    </row>
    <row r="333" spans="1:30" s="2" customFormat="1" x14ac:dyDescent="0.2">
      <c r="A333" s="121"/>
      <c r="B333" s="121"/>
      <c r="C333" s="121"/>
      <c r="D333" s="122"/>
      <c r="E333" s="122"/>
      <c r="F333" s="122"/>
      <c r="G333" s="122"/>
      <c r="H333" s="123"/>
      <c r="I333" s="123"/>
      <c r="J333" s="123"/>
      <c r="K333" s="123"/>
      <c r="L333" s="1"/>
      <c r="M333" s="1"/>
      <c r="N333" s="1"/>
      <c r="O333" s="1"/>
      <c r="P333" s="1"/>
      <c r="Q333" s="1"/>
      <c r="R333" s="1"/>
      <c r="S333" s="1"/>
      <c r="T333" s="1"/>
      <c r="U333" s="1"/>
      <c r="V333" s="1"/>
      <c r="W333" s="1"/>
      <c r="X333" s="1"/>
      <c r="Y333" s="1"/>
      <c r="Z333" s="1"/>
      <c r="AA333" s="1"/>
      <c r="AB333" s="1"/>
      <c r="AC333" s="1"/>
      <c r="AD333" s="1"/>
    </row>
    <row r="334" spans="1:30" s="2" customFormat="1" x14ac:dyDescent="0.2">
      <c r="A334" s="121"/>
      <c r="B334" s="121"/>
      <c r="C334" s="121"/>
      <c r="D334" s="122"/>
      <c r="E334" s="122"/>
      <c r="F334" s="122"/>
      <c r="G334" s="122"/>
      <c r="H334" s="123"/>
      <c r="I334" s="123"/>
      <c r="J334" s="123"/>
      <c r="K334" s="123"/>
      <c r="L334" s="1"/>
      <c r="M334" s="1"/>
      <c r="N334" s="1"/>
      <c r="O334" s="1"/>
      <c r="P334" s="1"/>
      <c r="Q334" s="1"/>
      <c r="R334" s="1"/>
      <c r="S334" s="1"/>
      <c r="T334" s="1"/>
      <c r="U334" s="1"/>
      <c r="V334" s="1"/>
      <c r="W334" s="1"/>
      <c r="X334" s="1"/>
      <c r="Y334" s="1"/>
      <c r="Z334" s="1"/>
      <c r="AA334" s="1"/>
      <c r="AB334" s="1"/>
      <c r="AC334" s="1"/>
      <c r="AD334" s="1"/>
    </row>
    <row r="335" spans="1:30" s="2" customFormat="1" x14ac:dyDescent="0.2">
      <c r="A335" s="121"/>
      <c r="B335" s="121"/>
      <c r="C335" s="121"/>
      <c r="D335" s="122"/>
      <c r="E335" s="122"/>
      <c r="F335" s="122"/>
      <c r="G335" s="122"/>
      <c r="H335" s="123"/>
      <c r="I335" s="123"/>
      <c r="J335" s="123"/>
      <c r="K335" s="123"/>
      <c r="L335" s="1"/>
      <c r="M335" s="1"/>
      <c r="N335" s="1"/>
      <c r="O335" s="1"/>
      <c r="P335" s="1"/>
      <c r="Q335" s="1"/>
      <c r="R335" s="1"/>
      <c r="S335" s="1"/>
      <c r="T335" s="1"/>
      <c r="U335" s="1"/>
      <c r="V335" s="1"/>
      <c r="W335" s="1"/>
      <c r="X335" s="1"/>
      <c r="Y335" s="1"/>
      <c r="Z335" s="1"/>
      <c r="AA335" s="1"/>
      <c r="AB335" s="1"/>
      <c r="AC335" s="1"/>
      <c r="AD335" s="1"/>
    </row>
    <row r="336" spans="1:30" s="2" customFormat="1" x14ac:dyDescent="0.2">
      <c r="A336" s="121"/>
      <c r="B336" s="121"/>
      <c r="C336" s="121"/>
      <c r="D336" s="122"/>
      <c r="E336" s="122"/>
      <c r="F336" s="122"/>
      <c r="G336" s="122"/>
      <c r="H336" s="123"/>
      <c r="I336" s="123"/>
      <c r="J336" s="123"/>
      <c r="K336" s="123"/>
      <c r="L336" s="1"/>
      <c r="M336" s="1"/>
      <c r="N336" s="1"/>
      <c r="O336" s="1"/>
      <c r="P336" s="1"/>
      <c r="Q336" s="1"/>
      <c r="R336" s="1"/>
      <c r="S336" s="1"/>
      <c r="T336" s="1"/>
      <c r="U336" s="1"/>
      <c r="V336" s="1"/>
      <c r="W336" s="1"/>
      <c r="X336" s="1"/>
      <c r="Y336" s="1"/>
      <c r="Z336" s="1"/>
      <c r="AA336" s="1"/>
      <c r="AB336" s="1"/>
      <c r="AC336" s="1"/>
      <c r="AD336" s="1"/>
    </row>
    <row r="337" spans="1:30" s="2" customFormat="1" x14ac:dyDescent="0.2">
      <c r="A337" s="121"/>
      <c r="B337" s="121"/>
      <c r="C337" s="121"/>
      <c r="D337" s="122"/>
      <c r="E337" s="122"/>
      <c r="F337" s="122"/>
      <c r="G337" s="122"/>
      <c r="H337" s="123"/>
      <c r="I337" s="123"/>
      <c r="J337" s="123"/>
      <c r="K337" s="123"/>
      <c r="L337" s="1"/>
      <c r="M337" s="1"/>
      <c r="N337" s="1"/>
      <c r="O337" s="1"/>
      <c r="P337" s="1"/>
      <c r="Q337" s="1"/>
      <c r="R337" s="1"/>
      <c r="S337" s="1"/>
      <c r="T337" s="1"/>
      <c r="U337" s="1"/>
      <c r="V337" s="1"/>
      <c r="W337" s="1"/>
      <c r="X337" s="1"/>
      <c r="Y337" s="1"/>
      <c r="Z337" s="1"/>
      <c r="AA337" s="1"/>
      <c r="AB337" s="1"/>
      <c r="AC337" s="1"/>
      <c r="AD337" s="1"/>
    </row>
    <row r="338" spans="1:30" s="2" customFormat="1" x14ac:dyDescent="0.2">
      <c r="A338" s="121"/>
      <c r="B338" s="121"/>
      <c r="C338" s="121"/>
      <c r="D338" s="122"/>
      <c r="E338" s="122"/>
      <c r="F338" s="122"/>
      <c r="G338" s="122"/>
      <c r="H338" s="123"/>
      <c r="I338" s="123"/>
      <c r="J338" s="123"/>
      <c r="K338" s="123"/>
      <c r="L338" s="1"/>
      <c r="M338" s="1"/>
      <c r="N338" s="1"/>
      <c r="O338" s="1"/>
      <c r="P338" s="1"/>
      <c r="Q338" s="1"/>
      <c r="R338" s="1"/>
      <c r="S338" s="1"/>
      <c r="T338" s="1"/>
      <c r="U338" s="1"/>
      <c r="V338" s="1"/>
      <c r="W338" s="1"/>
      <c r="X338" s="1"/>
      <c r="Y338" s="1"/>
      <c r="Z338" s="1"/>
      <c r="AA338" s="1"/>
      <c r="AB338" s="1"/>
      <c r="AC338" s="1"/>
      <c r="AD338" s="1"/>
    </row>
    <row r="339" spans="1:30" s="2" customFormat="1" x14ac:dyDescent="0.2">
      <c r="A339" s="121"/>
      <c r="B339" s="121"/>
      <c r="C339" s="121"/>
      <c r="D339" s="122"/>
      <c r="E339" s="122"/>
      <c r="F339" s="122"/>
      <c r="G339" s="122"/>
      <c r="H339" s="123"/>
      <c r="I339" s="123"/>
      <c r="J339" s="123"/>
      <c r="K339" s="123"/>
      <c r="L339" s="1"/>
      <c r="M339" s="1"/>
      <c r="N339" s="1"/>
      <c r="O339" s="1"/>
      <c r="P339" s="1"/>
      <c r="Q339" s="1"/>
      <c r="R339" s="1"/>
      <c r="S339" s="1"/>
      <c r="T339" s="1"/>
      <c r="U339" s="1"/>
      <c r="V339" s="1"/>
      <c r="W339" s="1"/>
      <c r="X339" s="1"/>
      <c r="Y339" s="1"/>
      <c r="Z339" s="1"/>
      <c r="AA339" s="1"/>
      <c r="AB339" s="1"/>
      <c r="AC339" s="1"/>
      <c r="AD339" s="1"/>
    </row>
    <row r="340" spans="1:30" s="2" customFormat="1" x14ac:dyDescent="0.2">
      <c r="A340" s="121"/>
      <c r="B340" s="121"/>
      <c r="C340" s="121"/>
      <c r="D340" s="122"/>
      <c r="E340" s="122"/>
      <c r="F340" s="122"/>
      <c r="G340" s="122"/>
      <c r="H340" s="123"/>
      <c r="I340" s="123"/>
      <c r="J340" s="123"/>
      <c r="K340" s="123"/>
      <c r="L340" s="1"/>
      <c r="M340" s="1"/>
      <c r="N340" s="1"/>
      <c r="O340" s="1"/>
      <c r="P340" s="1"/>
      <c r="Q340" s="1"/>
      <c r="R340" s="1"/>
      <c r="S340" s="1"/>
      <c r="T340" s="1"/>
      <c r="U340" s="1"/>
      <c r="V340" s="1"/>
      <c r="W340" s="1"/>
      <c r="X340" s="1"/>
      <c r="Y340" s="1"/>
      <c r="Z340" s="1"/>
      <c r="AA340" s="1"/>
      <c r="AB340" s="1"/>
      <c r="AC340" s="1"/>
      <c r="AD340" s="1"/>
    </row>
    <row r="341" spans="1:30" s="2" customFormat="1" x14ac:dyDescent="0.2">
      <c r="A341" s="121"/>
      <c r="B341" s="121"/>
      <c r="C341" s="121"/>
      <c r="D341" s="122"/>
      <c r="E341" s="122"/>
      <c r="F341" s="122"/>
      <c r="G341" s="122"/>
      <c r="H341" s="123"/>
      <c r="I341" s="123"/>
      <c r="J341" s="123"/>
      <c r="K341" s="123"/>
      <c r="L341" s="1"/>
      <c r="M341" s="1"/>
      <c r="N341" s="1"/>
      <c r="O341" s="1"/>
      <c r="P341" s="1"/>
      <c r="Q341" s="1"/>
      <c r="R341" s="1"/>
      <c r="S341" s="1"/>
      <c r="T341" s="1"/>
      <c r="U341" s="1"/>
      <c r="V341" s="1"/>
      <c r="W341" s="1"/>
      <c r="X341" s="1"/>
      <c r="Y341" s="1"/>
      <c r="Z341" s="1"/>
      <c r="AA341" s="1"/>
      <c r="AB341" s="1"/>
      <c r="AC341" s="1"/>
      <c r="AD341" s="1"/>
    </row>
    <row r="342" spans="1:30" s="2" customFormat="1" x14ac:dyDescent="0.2">
      <c r="A342" s="121"/>
      <c r="B342" s="121"/>
      <c r="C342" s="121"/>
      <c r="D342" s="122"/>
      <c r="E342" s="122"/>
      <c r="F342" s="122"/>
      <c r="G342" s="122"/>
      <c r="H342" s="123"/>
      <c r="I342" s="123"/>
      <c r="J342" s="123"/>
      <c r="K342" s="123"/>
      <c r="L342" s="1"/>
      <c r="M342" s="1"/>
      <c r="N342" s="1"/>
      <c r="O342" s="1"/>
      <c r="P342" s="1"/>
      <c r="Q342" s="1"/>
      <c r="R342" s="1"/>
      <c r="S342" s="1"/>
      <c r="T342" s="1"/>
      <c r="U342" s="1"/>
      <c r="V342" s="1"/>
      <c r="W342" s="1"/>
      <c r="X342" s="1"/>
      <c r="Y342" s="1"/>
      <c r="Z342" s="1"/>
      <c r="AA342" s="1"/>
      <c r="AB342" s="1"/>
      <c r="AC342" s="1"/>
      <c r="AD342" s="1"/>
    </row>
    <row r="343" spans="1:30" s="2" customFormat="1" x14ac:dyDescent="0.2">
      <c r="A343" s="121"/>
      <c r="B343" s="121"/>
      <c r="C343" s="121"/>
      <c r="D343" s="122"/>
      <c r="E343" s="122"/>
      <c r="F343" s="122"/>
      <c r="G343" s="122"/>
      <c r="H343" s="123"/>
      <c r="I343" s="123"/>
      <c r="J343" s="123"/>
      <c r="K343" s="123"/>
      <c r="L343" s="1"/>
      <c r="M343" s="1"/>
      <c r="N343" s="1"/>
      <c r="O343" s="1"/>
      <c r="P343" s="1"/>
      <c r="Q343" s="1"/>
      <c r="R343" s="1"/>
      <c r="S343" s="1"/>
      <c r="T343" s="1"/>
      <c r="U343" s="1"/>
      <c r="V343" s="1"/>
      <c r="W343" s="1"/>
      <c r="X343" s="1"/>
      <c r="Y343" s="1"/>
      <c r="Z343" s="1"/>
      <c r="AA343" s="1"/>
      <c r="AB343" s="1"/>
      <c r="AC343" s="1"/>
      <c r="AD343" s="1"/>
    </row>
    <row r="344" spans="1:30" s="2" customFormat="1" x14ac:dyDescent="0.2">
      <c r="A344" s="121"/>
      <c r="B344" s="121"/>
      <c r="C344" s="121"/>
      <c r="D344" s="122"/>
      <c r="E344" s="122"/>
      <c r="F344" s="122"/>
      <c r="G344" s="122"/>
      <c r="H344" s="123"/>
      <c r="I344" s="123"/>
      <c r="J344" s="123"/>
      <c r="K344" s="123"/>
      <c r="L344" s="1"/>
      <c r="M344" s="1"/>
      <c r="N344" s="1"/>
      <c r="O344" s="1"/>
      <c r="P344" s="1"/>
      <c r="Q344" s="1"/>
      <c r="R344" s="1"/>
      <c r="S344" s="1"/>
      <c r="T344" s="1"/>
      <c r="U344" s="1"/>
      <c r="V344" s="1"/>
      <c r="W344" s="1"/>
      <c r="X344" s="1"/>
      <c r="Y344" s="1"/>
      <c r="Z344" s="1"/>
      <c r="AA344" s="1"/>
      <c r="AB344" s="1"/>
      <c r="AC344" s="1"/>
      <c r="AD344" s="1"/>
    </row>
    <row r="345" spans="1:30" s="2" customFormat="1" x14ac:dyDescent="0.2">
      <c r="A345" s="173" t="s">
        <v>4</v>
      </c>
      <c r="B345" s="150" t="str">
        <f>IF(ship1="","",ship1)</f>
        <v/>
      </c>
      <c r="C345" s="150" t="str">
        <f>IF(ship2="","",ship2)</f>
        <v/>
      </c>
      <c r="D345" s="150" t="str">
        <f>IF(ship3="","",ship3)</f>
        <v/>
      </c>
      <c r="E345" s="150" t="str">
        <f>IF(ship4="","",ship4)</f>
        <v/>
      </c>
      <c r="F345" s="150" t="str">
        <f>IF(ship5="","",ship5)</f>
        <v/>
      </c>
      <c r="G345" s="150" t="str">
        <f>IF(ship6="","",ship6)</f>
        <v/>
      </c>
      <c r="H345" s="123"/>
      <c r="I345" s="123"/>
      <c r="J345" s="123"/>
      <c r="K345" s="123"/>
      <c r="L345" s="1"/>
      <c r="M345" s="14"/>
      <c r="N345" s="1"/>
      <c r="O345" s="1"/>
      <c r="P345" s="1"/>
      <c r="Q345" s="1"/>
      <c r="R345" s="1"/>
      <c r="S345" s="1"/>
      <c r="T345" s="1"/>
      <c r="U345" s="1"/>
      <c r="V345" s="1"/>
      <c r="W345" s="1"/>
      <c r="X345" s="1"/>
      <c r="Y345" s="1"/>
      <c r="Z345" s="1"/>
      <c r="AA345" s="1"/>
      <c r="AB345" s="1"/>
      <c r="AC345" s="1"/>
      <c r="AD345" s="1"/>
    </row>
    <row r="346" spans="1:30" s="2" customFormat="1" x14ac:dyDescent="0.2">
      <c r="A346" s="173" t="s">
        <v>99</v>
      </c>
      <c r="B346" s="150">
        <f>scenario_display</f>
        <v>0</v>
      </c>
      <c r="C346" s="129"/>
      <c r="D346" s="129"/>
      <c r="E346" s="129"/>
      <c r="F346" s="129"/>
      <c r="G346" s="129"/>
      <c r="H346" s="123"/>
      <c r="I346" s="123"/>
      <c r="J346" s="123"/>
      <c r="K346" s="123"/>
      <c r="L346" s="1"/>
      <c r="M346" s="14"/>
      <c r="N346" s="1"/>
      <c r="O346" s="1"/>
      <c r="P346" s="1"/>
      <c r="Q346" s="1"/>
      <c r="R346" s="1"/>
      <c r="S346" s="1"/>
      <c r="T346" s="1"/>
      <c r="U346" s="1"/>
      <c r="V346" s="1"/>
      <c r="W346" s="1"/>
      <c r="X346" s="1"/>
      <c r="Y346" s="1"/>
      <c r="Z346" s="1"/>
      <c r="AA346" s="1"/>
      <c r="AB346" s="1"/>
      <c r="AC346" s="1"/>
      <c r="AD346" s="1"/>
    </row>
    <row r="347" spans="1:30" s="2" customFormat="1" x14ac:dyDescent="0.2">
      <c r="A347" s="155"/>
      <c r="B347" s="129"/>
      <c r="C347" s="129"/>
      <c r="D347" s="129"/>
      <c r="E347" s="129"/>
      <c r="F347" s="129"/>
      <c r="G347" s="129"/>
      <c r="H347" s="123"/>
      <c r="I347" s="123"/>
      <c r="J347" s="123"/>
      <c r="K347" s="123"/>
      <c r="L347" s="1"/>
      <c r="M347" s="14"/>
      <c r="N347" s="1"/>
      <c r="O347" s="1"/>
      <c r="P347" s="1"/>
      <c r="Q347" s="1"/>
      <c r="R347" s="1"/>
      <c r="S347" s="1"/>
      <c r="T347" s="1"/>
      <c r="U347" s="1"/>
      <c r="V347" s="1"/>
      <c r="W347" s="1"/>
      <c r="X347" s="1"/>
      <c r="Y347" s="1"/>
      <c r="Z347" s="1"/>
      <c r="AA347" s="1"/>
      <c r="AB347" s="1"/>
      <c r="AC347" s="1"/>
      <c r="AD347" s="1"/>
    </row>
    <row r="348" spans="1:30" s="2" customFormat="1" x14ac:dyDescent="0.2">
      <c r="A348" s="141" t="s">
        <v>52</v>
      </c>
      <c r="B348" s="240" t="s">
        <v>146</v>
      </c>
      <c r="C348" s="240"/>
      <c r="D348" s="240"/>
      <c r="E348" s="240"/>
      <c r="F348" s="240"/>
      <c r="G348" s="240"/>
      <c r="H348" s="123"/>
      <c r="I348" s="123"/>
      <c r="J348" s="123"/>
      <c r="K348" s="123"/>
      <c r="L348" s="1"/>
      <c r="M348" s="14"/>
      <c r="N348" s="1"/>
      <c r="O348" s="1"/>
      <c r="P348" s="1"/>
      <c r="Q348" s="1"/>
      <c r="R348" s="1"/>
      <c r="S348" s="1"/>
      <c r="T348" s="1"/>
      <c r="U348" s="1"/>
      <c r="V348" s="1"/>
      <c r="W348" s="1"/>
      <c r="X348" s="1"/>
      <c r="Y348" s="1"/>
      <c r="Z348" s="1"/>
      <c r="AA348" s="1"/>
      <c r="AB348" s="1"/>
      <c r="AC348" s="1"/>
      <c r="AD348" s="1"/>
    </row>
    <row r="349" spans="1:30" s="2" customFormat="1" x14ac:dyDescent="0.2">
      <c r="A349" s="137" t="s">
        <v>14</v>
      </c>
      <c r="B349" s="129">
        <f>IF(scenario_display="low",'Hidden calcs1'!AB124,IF(scenario_display="medium",'Hidden calcs1'!AB125,'Hidden calcs1'!AB126))</f>
        <v>0</v>
      </c>
      <c r="C349" s="129">
        <f>IF(scenario_display="low",'Hidden calcs1'!AB127,IF(scenario_display="medium",'Hidden calcs1'!AB128,'Hidden calcs1'!AB129))</f>
        <v>0</v>
      </c>
      <c r="D349" s="129">
        <f>IF(scenario_display="low",'Hidden calcs1'!AB130,IF(scenario_display="medium",'Hidden calcs1'!AB131,'Hidden calcs1'!AB132))</f>
        <v>0</v>
      </c>
      <c r="E349" s="129">
        <f>IF(scenario_display="low",'Hidden calcs1'!AB133,IF(scenario_display="medium",'Hidden calcs1'!AB134,'Hidden calcs1'!AB135))</f>
        <v>0</v>
      </c>
      <c r="F349" s="129">
        <f>IF(scenario_display="low",'Hidden calcs1'!AB136,IF(scenario_display="medium",'Hidden calcs1'!AB137,'Hidden calcs1'!AB138))</f>
        <v>0</v>
      </c>
      <c r="G349" s="129">
        <f>IF(scenario_display="low",'Hidden calcs1'!AB139,IF(scenario_display="medium",'Hidden calcs1'!AB140,'Hidden calcs1'!AB141))</f>
        <v>0</v>
      </c>
      <c r="H349" s="123"/>
      <c r="I349" s="123"/>
      <c r="J349" s="123"/>
      <c r="K349" s="123"/>
      <c r="L349" s="1"/>
      <c r="M349" s="14"/>
      <c r="N349" s="1"/>
      <c r="O349" s="1"/>
      <c r="P349" s="1"/>
      <c r="Q349" s="1"/>
      <c r="R349" s="1"/>
      <c r="S349" s="1"/>
      <c r="T349" s="1"/>
      <c r="U349" s="1"/>
      <c r="V349" s="1"/>
      <c r="W349" s="1"/>
      <c r="X349" s="1"/>
      <c r="Y349" s="1"/>
      <c r="Z349" s="1"/>
      <c r="AA349" s="1"/>
      <c r="AB349" s="1"/>
      <c r="AC349" s="1"/>
      <c r="AD349" s="1"/>
    </row>
    <row r="350" spans="1:30" s="2" customFormat="1" x14ac:dyDescent="0.2">
      <c r="A350" s="137" t="s">
        <v>15</v>
      </c>
      <c r="B350" s="129">
        <f>IF(scenario_display="low",'Hidden calcs1'!AC124,IF(scenario_display="medium",'Hidden calcs1'!AC125,'Hidden calcs1'!AC126))</f>
        <v>0</v>
      </c>
      <c r="C350" s="129">
        <f>IF(scenario_display="low",'Hidden calcs1'!AC127,IF(scenario_display="medium",'Hidden calcs1'!AC128,'Hidden calcs1'!AC129))</f>
        <v>0</v>
      </c>
      <c r="D350" s="129">
        <f>IF(scenario_display="low",'Hidden calcs1'!AC130,IF(scenario_display="medium",'Hidden calcs1'!AC131,'Hidden calcs1'!AC132))</f>
        <v>0</v>
      </c>
      <c r="E350" s="129">
        <f>IF(scenario_display="low",'Hidden calcs1'!AC133,IF(scenario_display="medium",'Hidden calcs1'!AC134,'Hidden calcs1'!AC135))</f>
        <v>0</v>
      </c>
      <c r="F350" s="129">
        <f>IF(scenario_display="low",'Hidden calcs1'!AC136,IF(scenario_display="medium",'Hidden calcs1'!AC137,'Hidden calcs1'!AC138))</f>
        <v>0</v>
      </c>
      <c r="G350" s="129">
        <f>IF(scenario_display="low",'Hidden calcs1'!AC139,IF(scenario_display="medium",'Hidden calcs1'!AC140,'Hidden calcs1'!AC141))</f>
        <v>0</v>
      </c>
      <c r="H350" s="123"/>
      <c r="I350" s="123"/>
      <c r="J350" s="123"/>
      <c r="K350" s="123"/>
      <c r="L350" s="1"/>
      <c r="M350" s="14"/>
      <c r="N350" s="1"/>
      <c r="O350" s="1"/>
      <c r="P350" s="1"/>
      <c r="Q350" s="1"/>
      <c r="R350" s="1"/>
      <c r="S350" s="1"/>
      <c r="T350" s="1"/>
      <c r="U350" s="1"/>
      <c r="V350" s="1"/>
      <c r="W350" s="1"/>
      <c r="X350" s="1"/>
      <c r="Y350" s="1"/>
      <c r="Z350" s="1"/>
      <c r="AA350" s="1"/>
      <c r="AB350" s="1"/>
      <c r="AC350" s="1"/>
      <c r="AD350" s="1"/>
    </row>
    <row r="351" spans="1:30" s="2" customFormat="1" x14ac:dyDescent="0.2">
      <c r="A351" s="137" t="s">
        <v>25</v>
      </c>
      <c r="B351" s="129">
        <f>IF(scenario_display="low",'Hidden calcs1'!AD124,IF(scenario_display="medium",'Hidden calcs1'!AD125,'Hidden calcs1'!AD126))</f>
        <v>0</v>
      </c>
      <c r="C351" s="129">
        <f>IF(scenario_display="low",'Hidden calcs1'!AD127,IF(scenario_display="medium",'Hidden calcs1'!AD128,'Hidden calcs1'!AD129))</f>
        <v>0</v>
      </c>
      <c r="D351" s="129">
        <f>IF(scenario_display="low",'Hidden calcs1'!AD130,IF(scenario_display="medium",'Hidden calcs1'!AD131,'Hidden calcs1'!AD132))</f>
        <v>0</v>
      </c>
      <c r="E351" s="129">
        <f>IF(scenario_display="low",'Hidden calcs1'!AD133,IF(scenario_display="medium",'Hidden calcs1'!AD134,'Hidden calcs1'!AD135))</f>
        <v>0</v>
      </c>
      <c r="F351" s="129">
        <f>IF(scenario_display="low",'Hidden calcs1'!AD136,IF(scenario_display="medium",'Hidden calcs1'!AD137,'Hidden calcs1'!AD138))</f>
        <v>0</v>
      </c>
      <c r="G351" s="129">
        <f>IF(scenario_display="low",'Hidden calcs1'!AD139,IF(scenario_display="medium",'Hidden calcs1'!AD140,'Hidden calcs1'!AD141))</f>
        <v>0</v>
      </c>
      <c r="H351" s="123"/>
      <c r="I351" s="123"/>
      <c r="J351" s="123"/>
      <c r="K351" s="123"/>
      <c r="L351" s="1"/>
      <c r="M351" s="14"/>
      <c r="N351" s="1"/>
      <c r="O351" s="1"/>
      <c r="P351" s="1"/>
      <c r="Q351" s="1"/>
      <c r="R351" s="1"/>
      <c r="S351" s="1"/>
      <c r="T351" s="1"/>
      <c r="U351" s="1"/>
      <c r="V351" s="1"/>
      <c r="W351" s="1"/>
      <c r="X351" s="1"/>
      <c r="Y351" s="1"/>
      <c r="Z351" s="1"/>
      <c r="AA351" s="1"/>
      <c r="AB351" s="1"/>
      <c r="AC351" s="1"/>
      <c r="AD351" s="1"/>
    </row>
    <row r="352" spans="1:30" s="2" customFormat="1" x14ac:dyDescent="0.2">
      <c r="A352" s="137"/>
      <c r="B352" s="129"/>
      <c r="C352" s="129"/>
      <c r="D352" s="129"/>
      <c r="E352" s="129"/>
      <c r="F352" s="129"/>
      <c r="G352" s="129"/>
      <c r="H352" s="123"/>
      <c r="I352" s="123"/>
      <c r="J352" s="123"/>
      <c r="K352" s="123"/>
      <c r="L352" s="1"/>
      <c r="M352" s="14"/>
      <c r="N352" s="1"/>
      <c r="O352" s="1"/>
      <c r="P352" s="1"/>
      <c r="Q352" s="1"/>
      <c r="R352" s="1"/>
      <c r="S352" s="1"/>
      <c r="T352" s="1"/>
      <c r="U352" s="1"/>
      <c r="V352" s="1"/>
      <c r="W352" s="1"/>
      <c r="X352" s="1"/>
      <c r="Y352" s="1"/>
      <c r="Z352" s="1"/>
      <c r="AA352" s="1"/>
      <c r="AB352" s="1"/>
      <c r="AC352" s="1"/>
      <c r="AD352" s="1"/>
    </row>
    <row r="353" spans="1:30" s="2" customFormat="1" x14ac:dyDescent="0.2">
      <c r="A353" s="141" t="s">
        <v>52</v>
      </c>
      <c r="B353" s="240" t="s">
        <v>178</v>
      </c>
      <c r="C353" s="240"/>
      <c r="D353" s="240"/>
      <c r="E353" s="240"/>
      <c r="F353" s="240"/>
      <c r="G353" s="240"/>
      <c r="H353" s="123"/>
      <c r="I353" s="123"/>
      <c r="J353" s="123"/>
      <c r="K353" s="123"/>
      <c r="L353" s="1"/>
      <c r="M353" s="14"/>
      <c r="N353" s="1"/>
      <c r="O353" s="1"/>
      <c r="P353" s="1"/>
      <c r="Q353" s="1"/>
      <c r="R353" s="1"/>
      <c r="S353" s="1"/>
      <c r="T353" s="1"/>
      <c r="U353" s="1"/>
      <c r="V353" s="1"/>
      <c r="W353" s="1"/>
      <c r="X353" s="1"/>
      <c r="Y353" s="1"/>
      <c r="Z353" s="1"/>
      <c r="AA353" s="1"/>
      <c r="AB353" s="1"/>
      <c r="AC353" s="1"/>
      <c r="AD353" s="1"/>
    </row>
    <row r="354" spans="1:30" s="2" customFormat="1" x14ac:dyDescent="0.2">
      <c r="A354" s="137" t="s">
        <v>14</v>
      </c>
      <c r="B354" s="129">
        <f>IF(scenario_display="low",'Hidden calcs1'!AB70,IF(scenario_display="medium",'Hidden calcs1'!AB71,'Hidden calcs1'!AB72))</f>
        <v>0</v>
      </c>
      <c r="C354" s="129">
        <f>IF(scenario_display="low",'Hidden calcs1'!AB73,IF(scenario_display="medium",'Hidden calcs1'!AB74,'Hidden calcs1'!AB75))</f>
        <v>0</v>
      </c>
      <c r="D354" s="129">
        <f>IF(scenario_display="low",'Hidden calcs1'!AB76,IF(scenario_display="medium",'Hidden calcs1'!AB77,'Hidden calcs1'!AB78))</f>
        <v>0</v>
      </c>
      <c r="E354" s="129">
        <f>IF(scenario_display="low",'Hidden calcs1'!AB79,IF(scenario_display="medium",'Hidden calcs1'!AB80,'Hidden calcs1'!AB81))</f>
        <v>0</v>
      </c>
      <c r="F354" s="129">
        <f>IF(scenario_display="low",'Hidden calcs1'!AB82,IF(scenario_display="medium",'Hidden calcs1'!AB83,'Hidden calcs1'!AB84))</f>
        <v>0</v>
      </c>
      <c r="G354" s="129">
        <f>IF(scenario_display="low",'Hidden calcs1'!AB85,IF(scenario_display="medium",'Hidden calcs1'!AB86,'Hidden calcs1'!AB87))</f>
        <v>0</v>
      </c>
      <c r="H354" s="123"/>
      <c r="I354" s="243"/>
      <c r="J354" s="243"/>
      <c r="K354" s="123"/>
      <c r="L354" s="1"/>
      <c r="M354" s="14"/>
      <c r="N354" s="1"/>
      <c r="O354" s="1"/>
      <c r="P354" s="1"/>
      <c r="Q354" s="1"/>
      <c r="R354" s="1"/>
      <c r="S354" s="1"/>
      <c r="T354" s="1"/>
      <c r="U354" s="1"/>
      <c r="V354" s="1"/>
      <c r="W354" s="1"/>
      <c r="X354" s="1"/>
      <c r="Y354" s="1"/>
      <c r="Z354" s="1"/>
      <c r="AA354" s="1"/>
      <c r="AB354" s="1"/>
      <c r="AC354" s="1"/>
      <c r="AD354" s="1"/>
    </row>
    <row r="355" spans="1:30" s="2" customFormat="1" x14ac:dyDescent="0.2">
      <c r="A355" s="137" t="s">
        <v>15</v>
      </c>
      <c r="B355" s="129">
        <f>IF(scenario_display="low",'Hidden calcs1'!AC70,IF(scenario_display="medium",'Hidden calcs1'!AC71,'Hidden calcs1'!AC72))</f>
        <v>0</v>
      </c>
      <c r="C355" s="129">
        <f>IF(scenario_display="low",'Hidden calcs1'!AC73,IF(scenario_display="medium",'Hidden calcs1'!AC74,'Hidden calcs1'!AC75))</f>
        <v>0</v>
      </c>
      <c r="D355" s="129">
        <f>IF(scenario_display="low",'Hidden calcs1'!AC76,IF(scenario_display="medium",'Hidden calcs1'!AC77,'Hidden calcs1'!AC78))</f>
        <v>0</v>
      </c>
      <c r="E355" s="129">
        <f>IF(scenario_display="low",'Hidden calcs1'!AC79,IF(scenario_display="medium",'Hidden calcs1'!AC80,'Hidden calcs1'!AC81))</f>
        <v>0</v>
      </c>
      <c r="F355" s="129">
        <f>IF(scenario_display="low",'Hidden calcs1'!AC82,IF(scenario_display="medium",'Hidden calcs1'!AC83,'Hidden calcs1'!AC84))</f>
        <v>0</v>
      </c>
      <c r="G355" s="129">
        <f>IF(scenario_display="low",'Hidden calcs1'!AC85,IF(scenario_display="medium",'Hidden calcs1'!AC86,'Hidden calcs1'!AC87))</f>
        <v>0</v>
      </c>
      <c r="H355" s="123"/>
      <c r="I355" s="243"/>
      <c r="J355" s="243"/>
      <c r="K355" s="123"/>
      <c r="L355" s="1"/>
      <c r="M355" s="14"/>
      <c r="N355" s="1"/>
      <c r="O355" s="1"/>
      <c r="P355" s="1"/>
      <c r="Q355" s="1"/>
      <c r="R355" s="1"/>
      <c r="S355" s="1"/>
      <c r="T355" s="1"/>
      <c r="U355" s="1"/>
      <c r="V355" s="1"/>
      <c r="W355" s="1"/>
      <c r="X355" s="1"/>
      <c r="Y355" s="1"/>
      <c r="Z355" s="1"/>
      <c r="AA355" s="1"/>
      <c r="AB355" s="1"/>
      <c r="AC355" s="1"/>
      <c r="AD355" s="1"/>
    </row>
    <row r="356" spans="1:30" s="2" customFormat="1" x14ac:dyDescent="0.2">
      <c r="A356" s="137" t="s">
        <v>25</v>
      </c>
      <c r="B356" s="129">
        <f>IF(scenario_display="low",'Hidden calcs1'!AD70,IF(scenario_display="medium",'Hidden calcs1'!AD71,'Hidden calcs1'!AD72))</f>
        <v>0</v>
      </c>
      <c r="C356" s="129">
        <f>IF(scenario_display="low",'Hidden calcs1'!AD73,IF(scenario_display="medium",'Hidden calcs1'!AD74,'Hidden calcs1'!AD75))</f>
        <v>0</v>
      </c>
      <c r="D356" s="129">
        <f>IF(scenario_display="low",'Hidden calcs1'!AD76,IF(scenario_display="medium",'Hidden calcs1'!AD77,'Hidden calcs1'!AD78))</f>
        <v>0</v>
      </c>
      <c r="E356" s="129">
        <f>IF(scenario_display="low",'Hidden calcs1'!AD79,IF(scenario_display="medium",'Hidden calcs1'!AD80,'Hidden calcs1'!AD81))</f>
        <v>0</v>
      </c>
      <c r="F356" s="129">
        <f>IF(scenario_display="low",'Hidden calcs1'!AD82,IF(scenario_display="medium",'Hidden calcs1'!AD83,'Hidden calcs1'!AD84))</f>
        <v>0</v>
      </c>
      <c r="G356" s="129">
        <f>IF(scenario_display="low",'Hidden calcs1'!AD85,IF(scenario_display="medium",'Hidden calcs1'!AD86,'Hidden calcs1'!AD87))</f>
        <v>0</v>
      </c>
      <c r="H356" s="123"/>
      <c r="I356" s="123"/>
      <c r="J356" s="123"/>
      <c r="K356" s="123"/>
      <c r="L356" s="1"/>
      <c r="M356" s="14"/>
      <c r="N356" s="1"/>
      <c r="O356" s="1"/>
      <c r="P356" s="1"/>
      <c r="Q356" s="1"/>
      <c r="R356" s="1"/>
      <c r="S356" s="1"/>
      <c r="T356" s="1"/>
      <c r="U356" s="1"/>
      <c r="V356" s="1"/>
      <c r="W356" s="1"/>
      <c r="X356" s="1"/>
      <c r="Y356" s="1"/>
      <c r="Z356" s="1"/>
      <c r="AA356" s="1"/>
      <c r="AB356" s="1"/>
      <c r="AC356" s="1"/>
      <c r="AD356" s="1"/>
    </row>
    <row r="357" spans="1:30" s="2" customFormat="1" x14ac:dyDescent="0.2">
      <c r="A357" s="137"/>
      <c r="B357" s="129"/>
      <c r="C357" s="129"/>
      <c r="D357" s="129"/>
      <c r="E357" s="129"/>
      <c r="F357" s="129"/>
      <c r="G357" s="129"/>
      <c r="H357" s="123"/>
      <c r="I357" s="123"/>
      <c r="J357" s="123"/>
      <c r="K357" s="123"/>
      <c r="L357" s="1"/>
      <c r="M357" s="14"/>
      <c r="N357" s="1"/>
      <c r="O357" s="1"/>
      <c r="P357" s="1"/>
      <c r="Q357" s="1"/>
      <c r="R357" s="1"/>
      <c r="S357" s="1"/>
      <c r="T357" s="1"/>
      <c r="U357" s="1"/>
      <c r="V357" s="1"/>
      <c r="W357" s="1"/>
      <c r="X357" s="1"/>
      <c r="Y357" s="1"/>
      <c r="Z357" s="1"/>
      <c r="AA357" s="1"/>
      <c r="AB357" s="1"/>
      <c r="AC357" s="1"/>
      <c r="AD357" s="1"/>
    </row>
    <row r="358" spans="1:30" s="2" customFormat="1" x14ac:dyDescent="0.2">
      <c r="A358" s="141" t="s">
        <v>52</v>
      </c>
      <c r="B358" s="240" t="s">
        <v>179</v>
      </c>
      <c r="C358" s="240"/>
      <c r="D358" s="240"/>
      <c r="E358" s="240"/>
      <c r="F358" s="240"/>
      <c r="G358" s="240"/>
      <c r="H358" s="123"/>
      <c r="I358" s="123"/>
      <c r="J358" s="123"/>
      <c r="K358" s="123"/>
      <c r="L358" s="1"/>
      <c r="M358" s="14"/>
      <c r="N358" s="1"/>
      <c r="O358" s="1"/>
      <c r="P358" s="1"/>
      <c r="Q358" s="1"/>
      <c r="R358" s="1"/>
      <c r="S358" s="1"/>
      <c r="T358" s="1"/>
      <c r="U358" s="1"/>
      <c r="V358" s="1"/>
      <c r="W358" s="1"/>
      <c r="X358" s="1"/>
      <c r="Y358" s="1"/>
      <c r="Z358" s="1"/>
      <c r="AA358" s="1"/>
      <c r="AB358" s="1"/>
      <c r="AC358" s="1"/>
      <c r="AD358" s="1"/>
    </row>
    <row r="359" spans="1:30" s="2" customFormat="1" x14ac:dyDescent="0.2">
      <c r="A359" s="137" t="s">
        <v>14</v>
      </c>
      <c r="B359" s="129">
        <f t="shared" ref="B359:G359" si="30">B349-B354</f>
        <v>0</v>
      </c>
      <c r="C359" s="129">
        <f t="shared" si="30"/>
        <v>0</v>
      </c>
      <c r="D359" s="129">
        <f t="shared" si="30"/>
        <v>0</v>
      </c>
      <c r="E359" s="129">
        <f t="shared" si="30"/>
        <v>0</v>
      </c>
      <c r="F359" s="129">
        <f t="shared" si="30"/>
        <v>0</v>
      </c>
      <c r="G359" s="129">
        <f t="shared" si="30"/>
        <v>0</v>
      </c>
      <c r="H359" s="123"/>
      <c r="I359" s="123"/>
      <c r="J359" s="123"/>
      <c r="K359" s="123"/>
      <c r="L359" s="1"/>
      <c r="M359" s="1"/>
      <c r="N359" s="1"/>
      <c r="O359" s="1"/>
      <c r="P359" s="1"/>
      <c r="Q359" s="1"/>
      <c r="R359" s="1"/>
      <c r="S359" s="1"/>
      <c r="T359" s="1"/>
      <c r="U359" s="1"/>
      <c r="V359" s="1"/>
      <c r="W359" s="1"/>
      <c r="X359" s="1"/>
      <c r="Y359" s="1"/>
      <c r="Z359" s="1"/>
      <c r="AA359" s="1"/>
      <c r="AB359" s="1"/>
      <c r="AC359" s="1"/>
      <c r="AD359" s="1"/>
    </row>
    <row r="360" spans="1:30" s="2" customFormat="1" x14ac:dyDescent="0.2">
      <c r="A360" s="137" t="s">
        <v>15</v>
      </c>
      <c r="B360" s="129">
        <f t="shared" ref="B360:G361" si="31">B350-B355</f>
        <v>0</v>
      </c>
      <c r="C360" s="129">
        <f t="shared" si="31"/>
        <v>0</v>
      </c>
      <c r="D360" s="129">
        <f t="shared" si="31"/>
        <v>0</v>
      </c>
      <c r="E360" s="129">
        <f t="shared" si="31"/>
        <v>0</v>
      </c>
      <c r="F360" s="129">
        <f t="shared" si="31"/>
        <v>0</v>
      </c>
      <c r="G360" s="129">
        <f t="shared" si="31"/>
        <v>0</v>
      </c>
      <c r="H360" s="123"/>
      <c r="I360" s="123"/>
      <c r="J360" s="123"/>
      <c r="K360" s="123"/>
      <c r="L360" s="1"/>
      <c r="M360" s="1"/>
      <c r="N360" s="1"/>
      <c r="O360" s="1"/>
      <c r="P360" s="1"/>
      <c r="Q360" s="1"/>
      <c r="R360" s="1"/>
      <c r="S360" s="1"/>
      <c r="T360" s="1"/>
      <c r="U360" s="1"/>
      <c r="V360" s="1"/>
      <c r="W360" s="1"/>
      <c r="X360" s="1"/>
      <c r="Y360" s="1"/>
      <c r="Z360" s="1"/>
      <c r="AA360" s="1"/>
      <c r="AB360" s="1"/>
      <c r="AC360" s="1"/>
      <c r="AD360" s="1"/>
    </row>
    <row r="361" spans="1:30" s="2" customFormat="1" x14ac:dyDescent="0.2">
      <c r="A361" s="137" t="s">
        <v>25</v>
      </c>
      <c r="B361" s="129">
        <f t="shared" si="31"/>
        <v>0</v>
      </c>
      <c r="C361" s="129">
        <f t="shared" si="31"/>
        <v>0</v>
      </c>
      <c r="D361" s="129">
        <f t="shared" si="31"/>
        <v>0</v>
      </c>
      <c r="E361" s="129">
        <f t="shared" si="31"/>
        <v>0</v>
      </c>
      <c r="F361" s="129">
        <f t="shared" si="31"/>
        <v>0</v>
      </c>
      <c r="G361" s="129">
        <f t="shared" si="31"/>
        <v>0</v>
      </c>
      <c r="H361" s="123"/>
      <c r="I361" s="123"/>
      <c r="J361" s="123"/>
      <c r="K361" s="123"/>
      <c r="L361" s="1"/>
      <c r="M361" s="1"/>
      <c r="N361" s="1"/>
      <c r="O361" s="1"/>
      <c r="P361" s="1"/>
      <c r="Q361" s="1"/>
      <c r="R361" s="1"/>
      <c r="S361" s="1"/>
      <c r="T361" s="1"/>
      <c r="U361" s="1"/>
      <c r="V361" s="1"/>
      <c r="W361" s="1"/>
      <c r="X361" s="1"/>
      <c r="Y361" s="1"/>
      <c r="Z361" s="1"/>
      <c r="AA361" s="1"/>
      <c r="AB361" s="1"/>
      <c r="AC361" s="1"/>
      <c r="AD361" s="1"/>
    </row>
    <row r="362" spans="1:30" s="2" customFormat="1" x14ac:dyDescent="0.2">
      <c r="A362" s="137"/>
      <c r="B362" s="129"/>
      <c r="C362" s="129"/>
      <c r="D362" s="129"/>
      <c r="E362" s="129"/>
      <c r="F362" s="129"/>
      <c r="G362" s="129"/>
      <c r="H362" s="123"/>
      <c r="I362" s="123"/>
      <c r="J362" s="123"/>
      <c r="K362" s="123"/>
      <c r="L362" s="1"/>
      <c r="M362" s="1"/>
      <c r="N362" s="1"/>
      <c r="O362" s="1"/>
      <c r="P362" s="1"/>
      <c r="Q362" s="1"/>
      <c r="R362" s="1"/>
      <c r="S362" s="1"/>
      <c r="T362" s="1"/>
      <c r="U362" s="1"/>
      <c r="V362" s="1"/>
      <c r="W362" s="1"/>
      <c r="X362" s="1"/>
      <c r="Y362" s="1"/>
      <c r="Z362" s="1"/>
      <c r="AA362" s="1"/>
      <c r="AB362" s="1"/>
      <c r="AC362" s="1"/>
      <c r="AD362" s="1"/>
    </row>
    <row r="363" spans="1:30" s="2" customFormat="1" x14ac:dyDescent="0.2">
      <c r="A363" s="141" t="s">
        <v>52</v>
      </c>
      <c r="B363" s="240" t="s">
        <v>147</v>
      </c>
      <c r="C363" s="240"/>
      <c r="D363" s="240"/>
      <c r="E363" s="240"/>
      <c r="F363" s="240"/>
      <c r="G363" s="240"/>
      <c r="H363" s="123"/>
      <c r="I363" s="123"/>
      <c r="J363" s="123"/>
      <c r="K363" s="123"/>
      <c r="L363" s="1"/>
      <c r="M363" s="14"/>
      <c r="N363" s="1"/>
      <c r="O363" s="1"/>
      <c r="P363" s="1"/>
      <c r="Q363" s="1"/>
      <c r="R363" s="1"/>
      <c r="S363" s="1"/>
      <c r="T363" s="1"/>
      <c r="U363" s="1"/>
      <c r="V363" s="1"/>
      <c r="W363" s="1"/>
      <c r="X363" s="1"/>
      <c r="Y363" s="1"/>
      <c r="Z363" s="1"/>
      <c r="AA363" s="1"/>
      <c r="AB363" s="1"/>
      <c r="AC363" s="1"/>
      <c r="AD363" s="1"/>
    </row>
    <row r="364" spans="1:30" s="2" customFormat="1" x14ac:dyDescent="0.2">
      <c r="A364" s="137" t="s">
        <v>14</v>
      </c>
      <c r="B364" s="129">
        <f>IF(scenario_display="low",'Hidden calcs1'!AB208,IF(scenario_display="medium",'Hidden calcs1'!AB209,'Hidden calcs1'!AB210))</f>
        <v>0</v>
      </c>
      <c r="C364" s="129">
        <f>IF(scenario_display="low",'Hidden calcs1'!AB211,IF(scenario_display="medium",'Hidden calcs1'!AB212,'Hidden calcs1'!AB213))</f>
        <v>0</v>
      </c>
      <c r="D364" s="129">
        <f>IF(scenario_display="low",'Hidden calcs1'!AB214,IF(scenario_display="medium",'Hidden calcs1'!AB215,'Hidden calcs1'!AB216))</f>
        <v>0</v>
      </c>
      <c r="E364" s="129">
        <f>IF(scenario_display="low",'Hidden calcs1'!AB217,IF(scenario_display="medium",'Hidden calcs1'!AB218,'Hidden calcs1'!AB219))</f>
        <v>0</v>
      </c>
      <c r="F364" s="129">
        <f>IF(scenario_display="low",'Hidden calcs1'!AB220,IF(scenario_display="medium",'Hidden calcs1'!AB221,'Hidden calcs1'!AB222))</f>
        <v>0</v>
      </c>
      <c r="G364" s="129">
        <f>IF(scenario_display="low",'Hidden calcs1'!AB223,IF(scenario_display="medium",'Hidden calcs1'!AB224,'Hidden calcs1'!AB225))</f>
        <v>0</v>
      </c>
      <c r="H364" s="123"/>
      <c r="I364" s="123"/>
      <c r="J364" s="123"/>
      <c r="K364" s="123"/>
      <c r="L364" s="1"/>
      <c r="M364" s="14"/>
      <c r="N364" s="1"/>
      <c r="O364" s="1"/>
      <c r="P364" s="1"/>
      <c r="Q364" s="1"/>
      <c r="R364" s="1"/>
      <c r="S364" s="1"/>
      <c r="T364" s="1"/>
      <c r="U364" s="1"/>
      <c r="V364" s="1"/>
      <c r="W364" s="1"/>
      <c r="X364" s="1"/>
      <c r="Y364" s="1"/>
      <c r="Z364" s="1"/>
      <c r="AA364" s="1"/>
      <c r="AB364" s="1"/>
      <c r="AC364" s="1"/>
      <c r="AD364" s="1"/>
    </row>
    <row r="365" spans="1:30" s="2" customFormat="1" x14ac:dyDescent="0.2">
      <c r="A365" s="137" t="s">
        <v>15</v>
      </c>
      <c r="B365" s="129">
        <f>IF(scenario_display="low",'Hidden calcs1'!AC208,IF(scenario_display="medium",'Hidden calcs1'!AC209,'Hidden calcs1'!AC210))</f>
        <v>0</v>
      </c>
      <c r="C365" s="129">
        <f>IF(scenario_display="low",'Hidden calcs1'!AC211,IF(scenario_display="medium",'Hidden calcs1'!AC212,'Hidden calcs1'!AC213))</f>
        <v>0</v>
      </c>
      <c r="D365" s="129">
        <f>IF(scenario_display="low",'Hidden calcs1'!AC214,IF(scenario_display="medium",'Hidden calcs1'!AC215,'Hidden calcs1'!AC216))</f>
        <v>0</v>
      </c>
      <c r="E365" s="129">
        <f>IF(scenario_display="low",'Hidden calcs1'!AC217,IF(scenario_display="medium",'Hidden calcs1'!AC218,'Hidden calcs1'!AC219))</f>
        <v>0</v>
      </c>
      <c r="F365" s="129">
        <f>IF(scenario_display="low",'Hidden calcs1'!AC220,IF(scenario_display="medium",'Hidden calcs1'!AC221,'Hidden calcs1'!AC222))</f>
        <v>0</v>
      </c>
      <c r="G365" s="129">
        <f>IF(scenario_display="low",'Hidden calcs1'!AC223,IF(scenario_display="medium",'Hidden calcs1'!AC224,'Hidden calcs1'!AC225))</f>
        <v>0</v>
      </c>
      <c r="H365" s="123"/>
      <c r="I365" s="123"/>
      <c r="J365" s="123"/>
      <c r="K365" s="123"/>
      <c r="L365" s="1"/>
      <c r="M365" s="14"/>
      <c r="N365" s="1"/>
      <c r="O365" s="1"/>
      <c r="P365" s="1"/>
      <c r="Q365" s="1"/>
      <c r="R365" s="1"/>
      <c r="S365" s="1"/>
      <c r="T365" s="1"/>
      <c r="U365" s="1"/>
      <c r="V365" s="1"/>
      <c r="W365" s="1"/>
      <c r="X365" s="1"/>
      <c r="Y365" s="1"/>
      <c r="Z365" s="1"/>
      <c r="AA365" s="1"/>
      <c r="AB365" s="1"/>
      <c r="AC365" s="1"/>
      <c r="AD365" s="1"/>
    </row>
    <row r="366" spans="1:30" s="2" customFormat="1" x14ac:dyDescent="0.2">
      <c r="A366" s="137" t="s">
        <v>25</v>
      </c>
      <c r="B366" s="129">
        <f>IF(scenario_display="low",'Hidden calcs1'!AD208,IF(scenario_display="medium",'Hidden calcs1'!AD209,'Hidden calcs1'!AD210))</f>
        <v>0</v>
      </c>
      <c r="C366" s="129">
        <f>IF(scenario_display="low",'Hidden calcs1'!AD211,IF(scenario_display="medium",'Hidden calcs1'!AD212,'Hidden calcs1'!AD213))</f>
        <v>0</v>
      </c>
      <c r="D366" s="129">
        <f>IF(scenario_display="low",'Hidden calcs1'!AD214,IF(scenario_display="medium",'Hidden calcs1'!AD215,'Hidden calcs1'!AD216))</f>
        <v>0</v>
      </c>
      <c r="E366" s="129">
        <f>IF(scenario_display="low",'Hidden calcs1'!AD217,IF(scenario_display="medium",'Hidden calcs1'!AD218,'Hidden calcs1'!AD219))</f>
        <v>0</v>
      </c>
      <c r="F366" s="129">
        <f>IF(scenario_display="low",'Hidden calcs1'!AD220,IF(scenario_display="medium",'Hidden calcs1'!AD221,'Hidden calcs1'!AD222))</f>
        <v>0</v>
      </c>
      <c r="G366" s="129">
        <f>IF(scenario_display="low",'Hidden calcs1'!AD223,IF(scenario_display="medium",'Hidden calcs1'!AD224,'Hidden calcs1'!AD225))</f>
        <v>0</v>
      </c>
      <c r="H366" s="123"/>
      <c r="I366" s="123"/>
      <c r="J366" s="123"/>
      <c r="K366" s="123"/>
      <c r="L366" s="1"/>
      <c r="M366" s="14"/>
      <c r="N366" s="1"/>
      <c r="O366" s="1"/>
      <c r="P366" s="1"/>
      <c r="Q366" s="1"/>
      <c r="R366" s="1"/>
      <c r="S366" s="1"/>
      <c r="T366" s="1"/>
      <c r="U366" s="1"/>
      <c r="V366" s="1"/>
      <c r="W366" s="1"/>
      <c r="X366" s="1"/>
      <c r="Y366" s="1"/>
      <c r="Z366" s="1"/>
      <c r="AA366" s="1"/>
      <c r="AB366" s="1"/>
      <c r="AC366" s="1"/>
      <c r="AD366" s="1"/>
    </row>
    <row r="367" spans="1:30" s="2" customFormat="1" x14ac:dyDescent="0.2">
      <c r="A367" s="137"/>
      <c r="B367" s="129"/>
      <c r="C367" s="129"/>
      <c r="D367" s="129"/>
      <c r="E367" s="129"/>
      <c r="F367" s="129"/>
      <c r="G367" s="129"/>
      <c r="H367" s="123"/>
      <c r="I367" s="123"/>
      <c r="J367" s="123"/>
      <c r="K367" s="123"/>
      <c r="L367" s="1"/>
      <c r="M367" s="1"/>
      <c r="N367" s="1"/>
      <c r="O367" s="1"/>
      <c r="P367" s="1"/>
      <c r="Q367" s="1"/>
      <c r="R367" s="1"/>
      <c r="S367" s="1"/>
      <c r="T367" s="1"/>
      <c r="U367" s="1"/>
      <c r="V367" s="1"/>
      <c r="W367" s="1"/>
      <c r="X367" s="1"/>
      <c r="Y367" s="1"/>
      <c r="Z367" s="1"/>
      <c r="AA367" s="1"/>
      <c r="AB367" s="1"/>
      <c r="AC367" s="1"/>
      <c r="AD367" s="1"/>
    </row>
    <row r="368" spans="1:30" s="2" customFormat="1" x14ac:dyDescent="0.2">
      <c r="A368" s="141" t="s">
        <v>52</v>
      </c>
      <c r="B368" s="240" t="s">
        <v>81</v>
      </c>
      <c r="C368" s="240"/>
      <c r="D368" s="240"/>
      <c r="E368" s="240"/>
      <c r="F368" s="240"/>
      <c r="G368" s="240"/>
      <c r="H368" s="123"/>
      <c r="I368" s="123"/>
      <c r="J368" s="123"/>
      <c r="K368" s="123"/>
      <c r="L368" s="1"/>
      <c r="M368" s="14"/>
      <c r="N368" s="1"/>
      <c r="O368" s="1"/>
      <c r="P368" s="1"/>
      <c r="Q368" s="1"/>
      <c r="R368" s="1"/>
      <c r="S368" s="1"/>
      <c r="T368" s="1"/>
      <c r="U368" s="1"/>
      <c r="V368" s="1"/>
      <c r="W368" s="1"/>
      <c r="X368" s="1"/>
      <c r="Y368" s="1"/>
      <c r="Z368" s="1"/>
      <c r="AA368" s="1"/>
      <c r="AB368" s="1"/>
      <c r="AC368" s="1"/>
      <c r="AD368" s="1"/>
    </row>
    <row r="369" spans="1:30" s="2" customFormat="1" x14ac:dyDescent="0.2">
      <c r="A369" s="137" t="s">
        <v>14</v>
      </c>
      <c r="B369" s="129">
        <f t="shared" ref="B369:G369" si="32">B349-B364</f>
        <v>0</v>
      </c>
      <c r="C369" s="129">
        <f t="shared" si="32"/>
        <v>0</v>
      </c>
      <c r="D369" s="129">
        <f t="shared" si="32"/>
        <v>0</v>
      </c>
      <c r="E369" s="129">
        <f t="shared" si="32"/>
        <v>0</v>
      </c>
      <c r="F369" s="129">
        <f t="shared" si="32"/>
        <v>0</v>
      </c>
      <c r="G369" s="129">
        <f t="shared" si="32"/>
        <v>0</v>
      </c>
      <c r="H369" s="123"/>
      <c r="I369" s="123"/>
      <c r="J369" s="123"/>
      <c r="K369" s="123"/>
      <c r="L369" s="1"/>
      <c r="M369" s="14"/>
      <c r="N369" s="1"/>
      <c r="O369" s="1"/>
      <c r="P369" s="1"/>
      <c r="Q369" s="1"/>
      <c r="R369" s="1"/>
      <c r="S369" s="1"/>
      <c r="T369" s="1"/>
      <c r="U369" s="1"/>
      <c r="V369" s="1"/>
      <c r="W369" s="1"/>
      <c r="X369" s="1"/>
      <c r="Y369" s="1"/>
      <c r="Z369" s="1"/>
      <c r="AA369" s="1"/>
      <c r="AB369" s="1"/>
      <c r="AC369" s="1"/>
      <c r="AD369" s="1"/>
    </row>
    <row r="370" spans="1:30" s="2" customFormat="1" x14ac:dyDescent="0.2">
      <c r="A370" s="137" t="s">
        <v>15</v>
      </c>
      <c r="B370" s="129">
        <f t="shared" ref="B370:G371" si="33">B350-B365</f>
        <v>0</v>
      </c>
      <c r="C370" s="129">
        <f t="shared" si="33"/>
        <v>0</v>
      </c>
      <c r="D370" s="129">
        <f t="shared" si="33"/>
        <v>0</v>
      </c>
      <c r="E370" s="129">
        <f t="shared" si="33"/>
        <v>0</v>
      </c>
      <c r="F370" s="129">
        <f t="shared" si="33"/>
        <v>0</v>
      </c>
      <c r="G370" s="129">
        <f t="shared" si="33"/>
        <v>0</v>
      </c>
      <c r="H370" s="123"/>
      <c r="I370" s="123"/>
      <c r="J370" s="123"/>
      <c r="K370" s="123"/>
      <c r="L370" s="1"/>
      <c r="M370" s="14"/>
      <c r="N370" s="1"/>
      <c r="O370" s="1"/>
      <c r="P370" s="1"/>
      <c r="Q370" s="1"/>
      <c r="R370" s="1"/>
      <c r="S370" s="1"/>
      <c r="T370" s="1"/>
      <c r="U370" s="1"/>
      <c r="V370" s="1"/>
      <c r="W370" s="1"/>
      <c r="X370" s="1"/>
      <c r="Y370" s="1"/>
      <c r="Z370" s="1"/>
      <c r="AA370" s="1"/>
      <c r="AB370" s="1"/>
      <c r="AC370" s="1"/>
      <c r="AD370" s="1"/>
    </row>
    <row r="371" spans="1:30" s="2" customFormat="1" x14ac:dyDescent="0.2">
      <c r="A371" s="137" t="s">
        <v>25</v>
      </c>
      <c r="B371" s="129">
        <f t="shared" si="33"/>
        <v>0</v>
      </c>
      <c r="C371" s="129">
        <f t="shared" si="33"/>
        <v>0</v>
      </c>
      <c r="D371" s="129">
        <f t="shared" si="33"/>
        <v>0</v>
      </c>
      <c r="E371" s="129">
        <f t="shared" si="33"/>
        <v>0</v>
      </c>
      <c r="F371" s="129">
        <f t="shared" si="33"/>
        <v>0</v>
      </c>
      <c r="G371" s="129">
        <f t="shared" si="33"/>
        <v>0</v>
      </c>
      <c r="H371" s="123"/>
      <c r="I371" s="123"/>
      <c r="J371" s="123"/>
      <c r="K371" s="123"/>
      <c r="L371" s="1"/>
      <c r="M371" s="14"/>
      <c r="N371" s="1"/>
      <c r="O371" s="1"/>
      <c r="P371" s="1"/>
      <c r="Q371" s="1"/>
      <c r="R371" s="1"/>
      <c r="S371" s="1"/>
      <c r="T371" s="1"/>
      <c r="U371" s="1"/>
      <c r="V371" s="1"/>
      <c r="W371" s="1"/>
      <c r="X371" s="1"/>
      <c r="Y371" s="1"/>
      <c r="Z371" s="1"/>
      <c r="AA371" s="1"/>
      <c r="AB371" s="1"/>
      <c r="AC371" s="1"/>
      <c r="AD371" s="1"/>
    </row>
    <row r="372" spans="1:30" s="2" customFormat="1" x14ac:dyDescent="0.2">
      <c r="A372" s="121"/>
      <c r="B372" s="129"/>
      <c r="C372" s="129"/>
      <c r="D372" s="129"/>
      <c r="E372" s="129"/>
      <c r="F372" s="129"/>
      <c r="G372" s="129"/>
      <c r="H372" s="123"/>
      <c r="I372" s="123"/>
      <c r="J372" s="123"/>
      <c r="K372" s="123"/>
      <c r="L372" s="1"/>
      <c r="M372" s="1"/>
      <c r="N372" s="1"/>
      <c r="O372" s="1"/>
      <c r="P372" s="1"/>
      <c r="Q372" s="1"/>
      <c r="R372" s="1"/>
      <c r="S372" s="1"/>
      <c r="T372" s="1"/>
      <c r="U372" s="1"/>
      <c r="V372" s="1"/>
      <c r="W372" s="1"/>
      <c r="X372" s="1"/>
      <c r="Y372" s="1"/>
      <c r="Z372" s="1"/>
      <c r="AA372" s="1"/>
      <c r="AB372" s="1"/>
      <c r="AC372" s="1"/>
      <c r="AD372" s="1"/>
    </row>
    <row r="373" spans="1:30" s="2" customFormat="1" x14ac:dyDescent="0.2">
      <c r="A373" s="153" t="s">
        <v>148</v>
      </c>
      <c r="B373" s="129"/>
      <c r="C373" s="129"/>
      <c r="D373" s="129"/>
      <c r="E373" s="129"/>
      <c r="F373" s="129"/>
      <c r="G373" s="129"/>
      <c r="H373" s="123"/>
      <c r="I373" s="123"/>
      <c r="J373" s="123"/>
      <c r="K373" s="123"/>
      <c r="L373" s="1"/>
      <c r="M373" s="1"/>
      <c r="N373" s="1"/>
      <c r="O373" s="1"/>
      <c r="P373" s="1"/>
      <c r="Q373" s="1"/>
      <c r="R373" s="1"/>
      <c r="S373" s="1"/>
      <c r="T373" s="1"/>
      <c r="U373" s="1"/>
      <c r="V373" s="1"/>
      <c r="W373" s="1"/>
      <c r="X373" s="1"/>
      <c r="Y373" s="1"/>
      <c r="Z373" s="1"/>
      <c r="AA373" s="1"/>
      <c r="AB373" s="1"/>
      <c r="AC373" s="1"/>
      <c r="AD373" s="1"/>
    </row>
    <row r="374" spans="1:30" s="2" customFormat="1" x14ac:dyDescent="0.2">
      <c r="A374" s="128" t="s">
        <v>180</v>
      </c>
      <c r="B374" s="129"/>
      <c r="C374" s="129"/>
      <c r="D374" s="129"/>
      <c r="E374" s="129"/>
      <c r="F374" s="129"/>
      <c r="G374" s="129"/>
      <c r="H374" s="123"/>
      <c r="I374" s="123"/>
      <c r="J374" s="123"/>
      <c r="K374" s="123"/>
      <c r="L374" s="1"/>
      <c r="M374" s="1"/>
      <c r="N374" s="1"/>
      <c r="O374" s="1"/>
      <c r="P374" s="1"/>
      <c r="Q374" s="1"/>
      <c r="R374" s="1"/>
      <c r="S374" s="1"/>
      <c r="T374" s="1"/>
      <c r="U374" s="1"/>
      <c r="V374" s="1"/>
      <c r="W374" s="1"/>
      <c r="X374" s="1"/>
      <c r="Y374" s="1"/>
      <c r="Z374" s="1"/>
      <c r="AA374" s="1"/>
      <c r="AB374" s="1"/>
      <c r="AC374" s="1"/>
      <c r="AD374" s="1"/>
    </row>
    <row r="375" spans="1:30" s="2" customFormat="1" x14ac:dyDescent="0.2">
      <c r="A375" s="128" t="s">
        <v>192</v>
      </c>
      <c r="B375" s="129"/>
      <c r="C375" s="129"/>
      <c r="D375" s="129"/>
      <c r="E375" s="129"/>
      <c r="F375" s="129"/>
      <c r="G375" s="129"/>
      <c r="H375" s="123"/>
      <c r="I375" s="123"/>
      <c r="J375" s="123"/>
      <c r="K375" s="123"/>
      <c r="L375" s="1"/>
      <c r="M375" s="1"/>
      <c r="N375" s="1"/>
      <c r="O375" s="1"/>
      <c r="P375" s="1"/>
      <c r="Q375" s="1"/>
      <c r="R375" s="1"/>
      <c r="S375" s="1"/>
      <c r="T375" s="1"/>
      <c r="U375" s="1"/>
      <c r="V375" s="1"/>
      <c r="W375" s="1"/>
      <c r="X375" s="1"/>
      <c r="Y375" s="1"/>
      <c r="Z375" s="1"/>
      <c r="AA375" s="1"/>
      <c r="AB375" s="1"/>
      <c r="AC375" s="1"/>
      <c r="AD375" s="1"/>
    </row>
    <row r="376" spans="1:30" s="2" customFormat="1" x14ac:dyDescent="0.2">
      <c r="A376" s="128" t="s">
        <v>195</v>
      </c>
      <c r="B376" s="129"/>
      <c r="C376" s="129"/>
      <c r="D376" s="129"/>
      <c r="E376" s="129"/>
      <c r="F376" s="129"/>
      <c r="G376" s="129"/>
      <c r="H376" s="123"/>
      <c r="I376" s="123"/>
      <c r="J376" s="123"/>
      <c r="K376" s="123"/>
      <c r="L376" s="1"/>
      <c r="M376" s="1"/>
      <c r="N376" s="1"/>
      <c r="O376" s="1"/>
      <c r="P376" s="1"/>
      <c r="Q376" s="1"/>
      <c r="R376" s="1"/>
      <c r="S376" s="1"/>
      <c r="T376" s="1"/>
      <c r="U376" s="1"/>
      <c r="V376" s="1"/>
      <c r="W376" s="1"/>
      <c r="X376" s="1"/>
      <c r="Y376" s="1"/>
      <c r="Z376" s="1"/>
      <c r="AA376" s="1"/>
      <c r="AB376" s="1"/>
      <c r="AC376" s="1"/>
      <c r="AD376" s="1"/>
    </row>
    <row r="377" spans="1:30" s="2" customFormat="1" x14ac:dyDescent="0.2">
      <c r="A377" s="128" t="s">
        <v>46</v>
      </c>
      <c r="B377" s="129"/>
      <c r="C377" s="129"/>
      <c r="D377" s="129"/>
      <c r="E377" s="129"/>
      <c r="F377" s="129"/>
      <c r="G377" s="129"/>
      <c r="H377" s="123"/>
      <c r="I377" s="123"/>
      <c r="J377" s="123"/>
      <c r="K377" s="123"/>
      <c r="L377" s="1"/>
      <c r="M377" s="1"/>
      <c r="N377" s="1"/>
      <c r="O377" s="1"/>
      <c r="P377" s="1"/>
      <c r="Q377" s="1"/>
      <c r="R377" s="1"/>
      <c r="S377" s="1"/>
      <c r="T377" s="1"/>
      <c r="U377" s="1"/>
      <c r="V377" s="1"/>
      <c r="W377" s="1"/>
      <c r="X377" s="1"/>
      <c r="Y377" s="1"/>
      <c r="Z377" s="1"/>
      <c r="AA377" s="1"/>
      <c r="AB377" s="1"/>
      <c r="AC377" s="1"/>
      <c r="AD377" s="1"/>
    </row>
    <row r="378" spans="1:30" s="2" customFormat="1" x14ac:dyDescent="0.2">
      <c r="A378" s="128" t="s">
        <v>153</v>
      </c>
      <c r="B378" s="129"/>
      <c r="C378" s="129"/>
      <c r="D378" s="129"/>
      <c r="E378" s="129"/>
      <c r="F378" s="129"/>
      <c r="G378" s="129"/>
      <c r="H378" s="123"/>
      <c r="I378" s="123"/>
      <c r="J378" s="123"/>
      <c r="K378" s="123"/>
      <c r="L378" s="1"/>
      <c r="M378" s="1"/>
      <c r="N378" s="1"/>
      <c r="O378" s="1"/>
      <c r="P378" s="1"/>
      <c r="Q378" s="1"/>
      <c r="R378" s="1"/>
      <c r="S378" s="1"/>
      <c r="T378" s="1"/>
      <c r="U378" s="1"/>
      <c r="V378" s="1"/>
      <c r="W378" s="1"/>
      <c r="X378" s="1"/>
      <c r="Y378" s="1"/>
      <c r="Z378" s="1"/>
      <c r="AA378" s="1"/>
      <c r="AB378" s="1"/>
      <c r="AC378" s="1"/>
      <c r="AD378" s="1"/>
    </row>
    <row r="379" spans="1:30" s="2" customFormat="1" x14ac:dyDescent="0.2">
      <c r="A379" s="128" t="s">
        <v>150</v>
      </c>
      <c r="B379" s="129"/>
      <c r="C379" s="129"/>
      <c r="D379" s="129"/>
      <c r="E379" s="129"/>
      <c r="F379" s="129"/>
      <c r="G379" s="129"/>
      <c r="H379" s="123"/>
      <c r="I379" s="123"/>
      <c r="J379" s="123"/>
      <c r="K379" s="123"/>
      <c r="L379" s="1"/>
      <c r="M379" s="1"/>
      <c r="N379" s="1"/>
      <c r="O379" s="1"/>
      <c r="P379" s="1"/>
      <c r="Q379" s="1"/>
      <c r="R379" s="1"/>
      <c r="S379" s="1"/>
      <c r="T379" s="1"/>
      <c r="U379" s="1"/>
      <c r="V379" s="1"/>
      <c r="W379" s="1"/>
      <c r="X379" s="1"/>
      <c r="Y379" s="1"/>
      <c r="Z379" s="1"/>
      <c r="AA379" s="1"/>
      <c r="AB379" s="1"/>
      <c r="AC379" s="1"/>
      <c r="AD379" s="1"/>
    </row>
    <row r="380" spans="1:30" s="2" customFormat="1" x14ac:dyDescent="0.2">
      <c r="A380" s="128" t="s">
        <v>151</v>
      </c>
      <c r="B380" s="129"/>
      <c r="C380" s="129"/>
      <c r="D380" s="129"/>
      <c r="E380" s="129"/>
      <c r="F380" s="129"/>
      <c r="G380" s="129"/>
      <c r="H380" s="123"/>
      <c r="I380" s="123"/>
      <c r="J380" s="123"/>
      <c r="K380" s="123"/>
      <c r="L380" s="1"/>
      <c r="M380" s="1"/>
      <c r="N380" s="1"/>
      <c r="O380" s="1"/>
      <c r="P380" s="1"/>
      <c r="Q380" s="1"/>
      <c r="R380" s="1"/>
      <c r="S380" s="1"/>
      <c r="T380" s="1"/>
      <c r="U380" s="1"/>
      <c r="V380" s="1"/>
      <c r="W380" s="1"/>
      <c r="X380" s="1"/>
      <c r="Y380" s="1"/>
      <c r="Z380" s="1"/>
      <c r="AA380" s="1"/>
      <c r="AB380" s="1"/>
      <c r="AC380" s="1"/>
      <c r="AD380" s="1"/>
    </row>
    <row r="381" spans="1:30" s="2" customFormat="1" x14ac:dyDescent="0.2">
      <c r="A381" s="128" t="s">
        <v>152</v>
      </c>
      <c r="B381" s="129"/>
      <c r="C381" s="129"/>
      <c r="D381" s="129"/>
      <c r="E381" s="129"/>
      <c r="F381" s="129"/>
      <c r="G381" s="129"/>
      <c r="H381" s="123"/>
      <c r="I381" s="123"/>
      <c r="J381" s="123"/>
      <c r="K381" s="123"/>
      <c r="L381" s="1"/>
      <c r="M381" s="1"/>
      <c r="N381" s="1"/>
      <c r="O381" s="1"/>
      <c r="P381" s="1"/>
      <c r="Q381" s="1"/>
      <c r="R381" s="1"/>
      <c r="S381" s="1"/>
      <c r="T381" s="1"/>
      <c r="U381" s="1"/>
      <c r="V381" s="1"/>
      <c r="W381" s="1"/>
      <c r="X381" s="1"/>
      <c r="Y381" s="1"/>
      <c r="Z381" s="1"/>
      <c r="AA381" s="1"/>
      <c r="AB381" s="1"/>
      <c r="AC381" s="1"/>
      <c r="AD381" s="1"/>
    </row>
    <row r="382" spans="1:30" s="2" customFormat="1" ht="13.5" customHeight="1" x14ac:dyDescent="0.2">
      <c r="A382" s="155"/>
      <c r="B382" s="121"/>
      <c r="C382" s="121"/>
      <c r="D382" s="122"/>
      <c r="E382" s="122"/>
      <c r="F382" s="122"/>
      <c r="G382" s="122"/>
      <c r="H382" s="123"/>
      <c r="I382" s="123"/>
      <c r="J382" s="123"/>
      <c r="K382" s="123"/>
      <c r="L382" s="1"/>
      <c r="M382" s="1"/>
      <c r="N382" s="1"/>
      <c r="O382" s="1"/>
      <c r="P382" s="1"/>
      <c r="Q382" s="1"/>
      <c r="R382" s="1"/>
      <c r="S382" s="1"/>
      <c r="T382" s="1"/>
      <c r="U382" s="1"/>
      <c r="V382" s="1"/>
      <c r="W382" s="1"/>
      <c r="X382" s="1"/>
      <c r="Y382" s="1"/>
      <c r="Z382" s="1"/>
      <c r="AA382" s="1"/>
      <c r="AB382" s="1"/>
      <c r="AC382" s="1"/>
      <c r="AD382" s="1"/>
    </row>
    <row r="383" spans="1:30" s="2" customFormat="1" ht="20.25" x14ac:dyDescent="0.3">
      <c r="A383" s="127" t="s">
        <v>151</v>
      </c>
      <c r="B383" s="121"/>
      <c r="C383" s="121"/>
      <c r="D383" s="122"/>
      <c r="E383" s="122"/>
      <c r="F383" s="122"/>
      <c r="G383" s="122"/>
      <c r="H383" s="123"/>
      <c r="I383" s="123"/>
      <c r="J383" s="123"/>
      <c r="K383" s="123"/>
      <c r="L383" s="1"/>
      <c r="M383" s="1"/>
      <c r="N383" s="1"/>
      <c r="O383" s="1"/>
      <c r="P383" s="1"/>
      <c r="Q383" s="1"/>
      <c r="R383" s="1"/>
      <c r="S383" s="1"/>
      <c r="T383" s="1"/>
      <c r="U383" s="1"/>
      <c r="V383" s="1"/>
      <c r="W383" s="1"/>
      <c r="X383" s="1"/>
      <c r="Y383" s="1"/>
      <c r="Z383" s="1"/>
      <c r="AA383" s="1"/>
      <c r="AB383" s="1"/>
      <c r="AC383" s="1"/>
      <c r="AD383" s="1"/>
    </row>
    <row r="384" spans="1:30" s="2" customFormat="1" x14ac:dyDescent="0.2">
      <c r="A384" s="172" t="s">
        <v>56</v>
      </c>
      <c r="B384" s="121"/>
      <c r="C384" s="121"/>
      <c r="D384" s="122"/>
      <c r="E384" s="122"/>
      <c r="F384" s="122"/>
      <c r="G384" s="122"/>
      <c r="H384" s="123"/>
      <c r="I384" s="123"/>
      <c r="J384" s="123"/>
      <c r="K384" s="123"/>
      <c r="L384" s="1"/>
      <c r="M384" s="14"/>
      <c r="N384" s="1"/>
      <c r="O384" s="1"/>
      <c r="P384" s="1"/>
      <c r="Q384" s="1"/>
      <c r="R384" s="1"/>
      <c r="S384" s="1"/>
      <c r="T384" s="1"/>
      <c r="U384" s="1"/>
      <c r="V384" s="1"/>
      <c r="W384" s="1"/>
      <c r="X384" s="1"/>
      <c r="Y384" s="1"/>
      <c r="Z384" s="1"/>
      <c r="AA384" s="1"/>
      <c r="AB384" s="1"/>
      <c r="AC384" s="1"/>
      <c r="AD384" s="1"/>
    </row>
    <row r="385" spans="1:30" s="2" customFormat="1" x14ac:dyDescent="0.2">
      <c r="A385" s="121"/>
      <c r="B385" s="121"/>
      <c r="C385" s="121"/>
      <c r="D385" s="122"/>
      <c r="E385" s="122"/>
      <c r="F385" s="122"/>
      <c r="G385" s="122"/>
      <c r="H385" s="123"/>
      <c r="I385" s="123"/>
      <c r="J385" s="123"/>
      <c r="K385" s="123"/>
      <c r="L385" s="1"/>
      <c r="M385" s="1"/>
      <c r="N385" s="1"/>
      <c r="O385" s="1"/>
      <c r="P385" s="1"/>
      <c r="Q385" s="1"/>
      <c r="R385" s="1"/>
      <c r="S385" s="1"/>
      <c r="T385" s="1"/>
      <c r="U385" s="1"/>
      <c r="V385" s="1"/>
      <c r="W385" s="1"/>
      <c r="X385" s="1"/>
      <c r="Y385" s="1"/>
      <c r="Z385" s="1"/>
      <c r="AA385" s="1"/>
      <c r="AB385" s="1"/>
      <c r="AC385" s="1"/>
      <c r="AD385" s="1"/>
    </row>
    <row r="386" spans="1:30" s="2" customFormat="1" x14ac:dyDescent="0.2">
      <c r="A386" s="121"/>
      <c r="B386" s="121"/>
      <c r="C386" s="121"/>
      <c r="D386" s="122"/>
      <c r="E386" s="122"/>
      <c r="F386" s="122"/>
      <c r="G386" s="122"/>
      <c r="H386" s="123"/>
      <c r="I386" s="123"/>
      <c r="J386" s="123"/>
      <c r="K386" s="123"/>
      <c r="L386" s="1"/>
      <c r="M386" s="5" t="s">
        <v>116</v>
      </c>
      <c r="N386" s="1"/>
      <c r="O386" s="1"/>
      <c r="P386" s="1"/>
      <c r="Q386" s="1"/>
      <c r="R386" s="1"/>
      <c r="S386" s="1"/>
      <c r="T386" s="1"/>
      <c r="U386" s="1"/>
      <c r="V386" s="1"/>
      <c r="W386" s="1"/>
      <c r="X386" s="1"/>
      <c r="Y386" s="1"/>
      <c r="Z386" s="1"/>
      <c r="AA386" s="1"/>
      <c r="AB386" s="1"/>
      <c r="AC386" s="1"/>
      <c r="AD386" s="1"/>
    </row>
    <row r="387" spans="1:30" s="2" customFormat="1" x14ac:dyDescent="0.2">
      <c r="A387" s="121"/>
      <c r="B387" s="121"/>
      <c r="C387" s="121"/>
      <c r="D387" s="122"/>
      <c r="E387" s="122"/>
      <c r="F387" s="122"/>
      <c r="G387" s="122"/>
      <c r="H387" s="123"/>
      <c r="I387" s="123"/>
      <c r="J387" s="123"/>
      <c r="K387" s="123"/>
      <c r="L387" s="1"/>
      <c r="M387" s="1" t="e">
        <f>HLOOKUP(ship_plot,B209:G210,2,FALSE)</f>
        <v>#N/A</v>
      </c>
      <c r="N387" s="1"/>
      <c r="O387" s="1"/>
      <c r="P387" s="1"/>
      <c r="Q387" s="1"/>
      <c r="R387" s="1"/>
      <c r="S387" s="1"/>
      <c r="T387" s="1"/>
      <c r="U387" s="1"/>
      <c r="V387" s="1"/>
      <c r="W387" s="1"/>
      <c r="X387" s="1"/>
      <c r="Y387" s="1"/>
      <c r="Z387" s="1"/>
      <c r="AA387" s="1"/>
      <c r="AB387" s="1"/>
      <c r="AC387" s="1"/>
      <c r="AD387" s="1"/>
    </row>
    <row r="388" spans="1:30" s="2" customFormat="1" x14ac:dyDescent="0.2">
      <c r="A388" s="121"/>
      <c r="B388" s="121"/>
      <c r="C388" s="121"/>
      <c r="D388" s="122"/>
      <c r="E388" s="122"/>
      <c r="F388" s="122"/>
      <c r="G388" s="122"/>
      <c r="H388" s="123"/>
      <c r="I388" s="123"/>
      <c r="J388" s="123"/>
      <c r="K388" s="123"/>
      <c r="L388" s="1"/>
      <c r="M388" s="1"/>
      <c r="N388" s="1"/>
      <c r="O388" s="1"/>
      <c r="P388" s="1"/>
      <c r="Q388" s="1"/>
      <c r="R388" s="1"/>
      <c r="S388" s="1"/>
      <c r="T388" s="1"/>
      <c r="U388" s="1"/>
      <c r="V388" s="1"/>
      <c r="W388" s="1"/>
      <c r="X388" s="1"/>
      <c r="Y388" s="1"/>
      <c r="Z388" s="1"/>
      <c r="AA388" s="1"/>
      <c r="AB388" s="1"/>
      <c r="AC388" s="1"/>
      <c r="AD388" s="1"/>
    </row>
    <row r="389" spans="1:30" s="2" customFormat="1" x14ac:dyDescent="0.2">
      <c r="A389" s="121"/>
      <c r="B389" s="121"/>
      <c r="C389" s="121"/>
      <c r="D389" s="122"/>
      <c r="E389" s="122"/>
      <c r="F389" s="122"/>
      <c r="G389" s="122"/>
      <c r="H389" s="123"/>
      <c r="I389" s="123"/>
      <c r="J389" s="123"/>
      <c r="K389" s="123"/>
      <c r="L389" s="1"/>
      <c r="M389" s="1"/>
      <c r="N389" s="1"/>
      <c r="O389" s="1"/>
      <c r="P389" s="1"/>
      <c r="Q389" s="1"/>
      <c r="R389" s="1"/>
      <c r="S389" s="1"/>
      <c r="T389" s="1"/>
      <c r="U389" s="1"/>
      <c r="V389" s="1"/>
      <c r="W389" s="1"/>
      <c r="X389" s="1"/>
      <c r="Y389" s="1"/>
      <c r="Z389" s="1"/>
      <c r="AA389" s="1"/>
      <c r="AB389" s="1"/>
      <c r="AC389" s="1"/>
      <c r="AD389" s="1"/>
    </row>
    <row r="390" spans="1:30" s="2" customFormat="1" x14ac:dyDescent="0.2">
      <c r="A390" s="121"/>
      <c r="B390" s="121"/>
      <c r="C390" s="121"/>
      <c r="D390" s="122"/>
      <c r="E390" s="122"/>
      <c r="F390" s="122"/>
      <c r="G390" s="122"/>
      <c r="H390" s="123"/>
      <c r="I390" s="123"/>
      <c r="J390" s="123"/>
      <c r="K390" s="123"/>
      <c r="L390" s="1"/>
      <c r="M390" s="1"/>
      <c r="N390" s="1"/>
      <c r="O390" s="1"/>
      <c r="P390" s="1"/>
      <c r="Q390" s="1"/>
      <c r="R390" s="1"/>
      <c r="S390" s="1"/>
      <c r="T390" s="1"/>
      <c r="U390" s="1"/>
      <c r="V390" s="1"/>
      <c r="W390" s="1"/>
      <c r="X390" s="1"/>
      <c r="Y390" s="1"/>
      <c r="Z390" s="1"/>
      <c r="AA390" s="1"/>
      <c r="AB390" s="1"/>
      <c r="AC390" s="1"/>
      <c r="AD390" s="1"/>
    </row>
    <row r="391" spans="1:30" s="2" customFormat="1" x14ac:dyDescent="0.2">
      <c r="A391" s="121"/>
      <c r="B391" s="121"/>
      <c r="C391" s="121"/>
      <c r="D391" s="122"/>
      <c r="E391" s="122"/>
      <c r="F391" s="122"/>
      <c r="G391" s="122"/>
      <c r="H391" s="123"/>
      <c r="I391" s="123"/>
      <c r="J391" s="123"/>
      <c r="K391" s="123"/>
      <c r="L391" s="1"/>
      <c r="M391" s="1"/>
      <c r="N391" s="1"/>
      <c r="O391" s="1"/>
      <c r="P391" s="1"/>
      <c r="Q391" s="1"/>
      <c r="R391" s="1"/>
      <c r="S391" s="1"/>
      <c r="T391" s="1"/>
      <c r="U391" s="1"/>
      <c r="V391" s="1"/>
      <c r="W391" s="1"/>
      <c r="X391" s="1"/>
      <c r="Y391" s="1"/>
      <c r="Z391" s="1"/>
      <c r="AA391" s="1"/>
      <c r="AB391" s="1"/>
      <c r="AC391" s="1"/>
      <c r="AD391" s="1"/>
    </row>
    <row r="392" spans="1:30" s="2" customFormat="1" x14ac:dyDescent="0.2">
      <c r="A392" s="121"/>
      <c r="B392" s="121"/>
      <c r="C392" s="121"/>
      <c r="D392" s="122"/>
      <c r="E392" s="122"/>
      <c r="F392" s="122"/>
      <c r="G392" s="122"/>
      <c r="H392" s="123"/>
      <c r="I392" s="123"/>
      <c r="J392" s="123"/>
      <c r="K392" s="123"/>
      <c r="L392" s="1"/>
      <c r="M392" s="1"/>
      <c r="N392" s="1"/>
      <c r="O392" s="1"/>
      <c r="P392" s="1"/>
      <c r="Q392" s="1"/>
      <c r="R392" s="1"/>
      <c r="S392" s="1"/>
      <c r="T392" s="1"/>
      <c r="U392" s="1"/>
      <c r="V392" s="1"/>
      <c r="W392" s="1"/>
      <c r="X392" s="1"/>
      <c r="Y392" s="1"/>
      <c r="Z392" s="1"/>
      <c r="AA392" s="1"/>
      <c r="AB392" s="1"/>
      <c r="AC392" s="1"/>
      <c r="AD392" s="1"/>
    </row>
    <row r="393" spans="1:30" s="2" customFormat="1" x14ac:dyDescent="0.2">
      <c r="A393" s="121"/>
      <c r="B393" s="121"/>
      <c r="C393" s="121"/>
      <c r="D393" s="122"/>
      <c r="E393" s="122"/>
      <c r="F393" s="122"/>
      <c r="G393" s="122"/>
      <c r="H393" s="123"/>
      <c r="I393" s="123"/>
      <c r="J393" s="123"/>
      <c r="K393" s="123"/>
      <c r="L393" s="1"/>
      <c r="M393" s="1"/>
      <c r="N393" s="1"/>
      <c r="O393" s="1"/>
      <c r="P393" s="1"/>
      <c r="Q393" s="1"/>
      <c r="R393" s="1"/>
      <c r="S393" s="1"/>
      <c r="T393" s="1"/>
      <c r="U393" s="1"/>
      <c r="V393" s="1"/>
      <c r="W393" s="1"/>
      <c r="X393" s="1"/>
      <c r="Y393" s="1"/>
      <c r="Z393" s="1"/>
      <c r="AA393" s="1"/>
      <c r="AB393" s="1"/>
      <c r="AC393" s="1"/>
      <c r="AD393" s="1"/>
    </row>
    <row r="394" spans="1:30" s="2" customFormat="1" x14ac:dyDescent="0.2">
      <c r="A394" s="121"/>
      <c r="B394" s="121"/>
      <c r="C394" s="121"/>
      <c r="D394" s="122"/>
      <c r="E394" s="122"/>
      <c r="F394" s="122"/>
      <c r="G394" s="122"/>
      <c r="H394" s="123"/>
      <c r="I394" s="123"/>
      <c r="J394" s="123"/>
      <c r="K394" s="123"/>
      <c r="L394" s="1"/>
      <c r="M394" s="1">
        <v>2013</v>
      </c>
      <c r="N394" s="1"/>
      <c r="O394" s="1"/>
      <c r="P394" s="10"/>
      <c r="Q394" s="1"/>
      <c r="R394" s="1"/>
      <c r="S394" s="1"/>
      <c r="T394" s="1"/>
      <c r="U394" s="1"/>
      <c r="V394" s="1"/>
      <c r="W394" s="1"/>
      <c r="X394" s="1"/>
      <c r="Y394" s="1"/>
      <c r="Z394" s="1"/>
      <c r="AA394" s="1"/>
      <c r="AB394" s="1"/>
      <c r="AC394" s="1"/>
      <c r="AD394" s="1"/>
    </row>
    <row r="395" spans="1:30" s="2" customFormat="1" x14ac:dyDescent="0.2">
      <c r="A395" s="121"/>
      <c r="B395" s="121"/>
      <c r="C395" s="121"/>
      <c r="D395" s="122"/>
      <c r="E395" s="122"/>
      <c r="F395" s="122"/>
      <c r="G395" s="122"/>
      <c r="H395" s="123"/>
      <c r="I395" s="123"/>
      <c r="J395" s="123"/>
      <c r="K395" s="123"/>
      <c r="L395" s="1"/>
      <c r="M395" s="1">
        <v>2014</v>
      </c>
      <c r="N395" s="1"/>
      <c r="O395" s="1"/>
      <c r="P395" s="10"/>
      <c r="Q395" s="1"/>
      <c r="R395" s="1"/>
      <c r="S395" s="1"/>
      <c r="T395" s="1"/>
      <c r="U395" s="1"/>
      <c r="V395" s="1"/>
      <c r="W395" s="1"/>
      <c r="X395" s="1"/>
      <c r="Y395" s="1"/>
      <c r="Z395" s="1"/>
      <c r="AA395" s="1"/>
      <c r="AB395" s="1"/>
      <c r="AC395" s="1"/>
      <c r="AD395" s="1"/>
    </row>
    <row r="396" spans="1:30" s="2" customFormat="1" x14ac:dyDescent="0.2">
      <c r="A396" s="121"/>
      <c r="B396" s="121"/>
      <c r="C396" s="121"/>
      <c r="D396" s="122"/>
      <c r="E396" s="122"/>
      <c r="F396" s="122"/>
      <c r="G396" s="122"/>
      <c r="H396" s="123"/>
      <c r="I396" s="123"/>
      <c r="J396" s="123"/>
      <c r="K396" s="123"/>
      <c r="L396" s="1"/>
      <c r="M396" s="1">
        <v>2015</v>
      </c>
      <c r="N396" s="1"/>
      <c r="O396" s="17"/>
      <c r="P396" s="1"/>
      <c r="Q396" s="1"/>
      <c r="R396" s="1"/>
      <c r="S396" s="1"/>
      <c r="T396" s="1"/>
      <c r="U396" s="1"/>
      <c r="V396" s="1"/>
      <c r="W396" s="1"/>
      <c r="X396" s="1"/>
      <c r="Y396" s="1"/>
      <c r="Z396" s="1"/>
      <c r="AA396" s="1"/>
      <c r="AB396" s="1"/>
      <c r="AC396" s="1"/>
      <c r="AD396" s="1"/>
    </row>
    <row r="397" spans="1:30" s="2" customFormat="1" x14ac:dyDescent="0.2">
      <c r="A397" s="121"/>
      <c r="B397" s="121"/>
      <c r="C397" s="121"/>
      <c r="D397" s="122"/>
      <c r="E397" s="122"/>
      <c r="F397" s="122"/>
      <c r="G397" s="122"/>
      <c r="H397" s="123"/>
      <c r="I397" s="123"/>
      <c r="J397" s="123"/>
      <c r="K397" s="123"/>
      <c r="L397" s="1"/>
      <c r="M397" s="1">
        <v>2016</v>
      </c>
      <c r="N397" s="1"/>
      <c r="O397" s="1"/>
      <c r="P397" s="1"/>
      <c r="Q397" s="1"/>
      <c r="R397" s="1"/>
      <c r="S397" s="1"/>
      <c r="T397" s="1"/>
      <c r="U397" s="1"/>
      <c r="V397" s="1"/>
      <c r="W397" s="1"/>
      <c r="X397" s="1"/>
      <c r="Y397" s="1"/>
      <c r="Z397" s="1"/>
      <c r="AA397" s="1"/>
      <c r="AB397" s="1"/>
      <c r="AC397" s="1"/>
      <c r="AD397" s="1"/>
    </row>
    <row r="398" spans="1:30" s="2" customFormat="1" x14ac:dyDescent="0.2">
      <c r="A398" s="121"/>
      <c r="B398" s="121"/>
      <c r="C398" s="121"/>
      <c r="D398" s="122"/>
      <c r="E398" s="122"/>
      <c r="F398" s="122"/>
      <c r="G398" s="122"/>
      <c r="H398" s="123"/>
      <c r="I398" s="123"/>
      <c r="J398" s="123"/>
      <c r="K398" s="123"/>
      <c r="L398" s="1"/>
      <c r="M398" s="1">
        <v>2017</v>
      </c>
      <c r="N398" s="1"/>
      <c r="O398" s="5" t="s">
        <v>64</v>
      </c>
      <c r="P398" s="1"/>
      <c r="Q398" s="1"/>
      <c r="R398" s="1"/>
      <c r="S398" s="1"/>
      <c r="T398" s="1"/>
      <c r="U398" s="1"/>
      <c r="V398" s="1"/>
      <c r="W398" s="1"/>
      <c r="X398" s="1"/>
      <c r="Y398" s="1"/>
      <c r="Z398" s="1"/>
      <c r="AA398" s="1"/>
      <c r="AB398" s="1"/>
      <c r="AC398" s="1"/>
      <c r="AD398" s="1"/>
    </row>
    <row r="399" spans="1:30" s="2" customFormat="1" x14ac:dyDescent="0.2">
      <c r="A399" s="121"/>
      <c r="B399" s="121"/>
      <c r="C399" s="121"/>
      <c r="D399" s="122"/>
      <c r="E399" s="122"/>
      <c r="F399" s="122"/>
      <c r="G399" s="122"/>
      <c r="H399" s="123"/>
      <c r="I399" s="123"/>
      <c r="J399" s="123"/>
      <c r="K399" s="123"/>
      <c r="L399" s="1"/>
      <c r="M399" s="1">
        <v>2018</v>
      </c>
      <c r="N399" s="1"/>
      <c r="O399" s="1" t="s">
        <v>65</v>
      </c>
      <c r="P399" s="1" t="s">
        <v>67</v>
      </c>
      <c r="Q399" s="1"/>
      <c r="R399" s="1"/>
      <c r="S399" s="1"/>
      <c r="T399" s="1"/>
      <c r="U399" s="1"/>
      <c r="V399" s="1"/>
      <c r="W399" s="1"/>
      <c r="X399" s="1"/>
      <c r="Y399" s="1"/>
      <c r="Z399" s="1"/>
      <c r="AA399" s="1"/>
      <c r="AB399" s="1"/>
      <c r="AC399" s="1"/>
      <c r="AD399" s="1"/>
    </row>
    <row r="400" spans="1:30" s="2" customFormat="1" x14ac:dyDescent="0.2">
      <c r="A400" s="121"/>
      <c r="B400" s="121"/>
      <c r="C400" s="121"/>
      <c r="D400" s="122"/>
      <c r="E400" s="122"/>
      <c r="F400" s="122"/>
      <c r="G400" s="122"/>
      <c r="H400" s="123"/>
      <c r="I400" s="123"/>
      <c r="J400" s="123"/>
      <c r="K400" s="123"/>
      <c r="L400" s="1"/>
      <c r="M400" s="1">
        <v>2019</v>
      </c>
      <c r="N400" s="1"/>
      <c r="O400" s="10" t="e">
        <f>MATCH(0,'Hidden calcs1'!$D$535:$Z$535,1)</f>
        <v>#N/A</v>
      </c>
      <c r="P400" s="10" t="e">
        <f>INDEX('Hidden calcs1'!$D$2:$Z$535,ROW('Hidden calcs1'!D535)-1,O400+1)</f>
        <v>#N/A</v>
      </c>
      <c r="Q400" s="1"/>
      <c r="R400" s="1"/>
      <c r="S400" s="1"/>
      <c r="T400" s="1"/>
      <c r="U400" s="1"/>
      <c r="V400" s="1"/>
      <c r="W400" s="1"/>
      <c r="X400" s="1"/>
      <c r="Y400" s="1"/>
      <c r="Z400" s="1"/>
      <c r="AA400" s="1"/>
      <c r="AB400" s="1"/>
      <c r="AC400" s="1"/>
      <c r="AD400" s="1"/>
    </row>
    <row r="401" spans="1:30" s="2" customFormat="1" x14ac:dyDescent="0.2">
      <c r="A401" s="121"/>
      <c r="B401" s="121"/>
      <c r="C401" s="121"/>
      <c r="D401" s="122"/>
      <c r="E401" s="122"/>
      <c r="F401" s="122"/>
      <c r="G401" s="122"/>
      <c r="H401" s="123"/>
      <c r="I401" s="123"/>
      <c r="J401" s="123"/>
      <c r="K401" s="123"/>
      <c r="L401" s="1"/>
      <c r="M401" s="1">
        <v>2020</v>
      </c>
      <c r="N401" s="1"/>
      <c r="O401" s="1" t="s">
        <v>66</v>
      </c>
      <c r="P401" s="1" t="s">
        <v>68</v>
      </c>
      <c r="Q401" s="1"/>
      <c r="R401" s="1"/>
      <c r="S401" s="1"/>
      <c r="T401" s="1"/>
      <c r="U401" s="1"/>
      <c r="V401" s="1"/>
      <c r="W401" s="1"/>
      <c r="X401" s="1"/>
      <c r="Y401" s="1"/>
      <c r="Z401" s="1"/>
      <c r="AA401" s="1"/>
      <c r="AB401" s="1"/>
      <c r="AC401" s="1"/>
      <c r="AD401" s="1"/>
    </row>
    <row r="402" spans="1:30" s="2" customFormat="1" x14ac:dyDescent="0.2">
      <c r="A402" s="121"/>
      <c r="B402" s="121"/>
      <c r="C402" s="121"/>
      <c r="D402" s="122"/>
      <c r="E402" s="122"/>
      <c r="F402" s="122"/>
      <c r="G402" s="122"/>
      <c r="H402" s="123"/>
      <c r="I402" s="123"/>
      <c r="J402" s="123"/>
      <c r="K402" s="123"/>
      <c r="L402" s="1"/>
      <c r="M402" s="1">
        <v>2021</v>
      </c>
      <c r="N402" s="1"/>
      <c r="O402" s="10" t="e">
        <f>O400-1</f>
        <v>#N/A</v>
      </c>
      <c r="P402" s="10" t="e">
        <f>INDEX('Hidden calcs1'!$D$2:$Z$535,ROW('Hidden calcs1'!D535)-1,O402+1)</f>
        <v>#N/A</v>
      </c>
      <c r="Q402" s="1"/>
      <c r="R402" s="1"/>
      <c r="S402" s="1"/>
      <c r="T402" s="1"/>
      <c r="U402" s="1"/>
      <c r="V402" s="1"/>
      <c r="W402" s="1"/>
      <c r="X402" s="1"/>
      <c r="Y402" s="1"/>
      <c r="Z402" s="1"/>
      <c r="AA402" s="1"/>
      <c r="AB402" s="1"/>
      <c r="AC402" s="1"/>
      <c r="AD402" s="1"/>
    </row>
    <row r="403" spans="1:30" s="2" customFormat="1" x14ac:dyDescent="0.2">
      <c r="A403" s="121"/>
      <c r="B403" s="121"/>
      <c r="C403" s="121"/>
      <c r="D403" s="122"/>
      <c r="E403" s="122"/>
      <c r="F403" s="122"/>
      <c r="G403" s="122"/>
      <c r="H403" s="123"/>
      <c r="I403" s="123"/>
      <c r="J403" s="123"/>
      <c r="K403" s="123"/>
      <c r="L403" s="1"/>
      <c r="M403" s="1">
        <v>2022</v>
      </c>
      <c r="N403" s="1"/>
      <c r="O403" s="1"/>
      <c r="P403" s="1"/>
      <c r="Q403" s="1"/>
      <c r="R403" s="1"/>
      <c r="S403" s="1"/>
      <c r="T403" s="1"/>
      <c r="U403" s="1"/>
      <c r="V403" s="1"/>
      <c r="W403" s="1"/>
      <c r="X403" s="1"/>
      <c r="Y403" s="1"/>
      <c r="Z403" s="1"/>
      <c r="AA403" s="1"/>
      <c r="AB403" s="1"/>
      <c r="AC403" s="1"/>
      <c r="AD403" s="1"/>
    </row>
    <row r="404" spans="1:30" s="2" customFormat="1" x14ac:dyDescent="0.2">
      <c r="A404" s="121"/>
      <c r="B404" s="121"/>
      <c r="C404" s="121"/>
      <c r="D404" s="122"/>
      <c r="E404" s="122"/>
      <c r="F404" s="122"/>
      <c r="G404" s="122"/>
      <c r="H404" s="123"/>
      <c r="I404" s="123"/>
      <c r="J404" s="123"/>
      <c r="K404" s="123"/>
      <c r="L404" s="1"/>
      <c r="M404" s="1">
        <v>2023</v>
      </c>
      <c r="N404" s="1"/>
      <c r="O404" s="1" t="s">
        <v>69</v>
      </c>
      <c r="P404" s="1"/>
      <c r="Q404" s="1"/>
      <c r="R404" s="1"/>
      <c r="S404" s="1"/>
      <c r="T404" s="1"/>
      <c r="U404" s="1"/>
      <c r="V404" s="1"/>
      <c r="W404" s="1"/>
      <c r="X404" s="1"/>
      <c r="Y404" s="1"/>
      <c r="Z404" s="1"/>
      <c r="AA404" s="1"/>
      <c r="AB404" s="1"/>
      <c r="AC404" s="1"/>
      <c r="AD404" s="1"/>
    </row>
    <row r="405" spans="1:30" s="2" customFormat="1" x14ac:dyDescent="0.2">
      <c r="A405" s="121"/>
      <c r="B405" s="121"/>
      <c r="C405" s="121"/>
      <c r="D405" s="122"/>
      <c r="E405" s="122"/>
      <c r="F405" s="122"/>
      <c r="G405" s="122"/>
      <c r="H405" s="123"/>
      <c r="I405" s="123"/>
      <c r="J405" s="123"/>
      <c r="K405" s="123"/>
      <c r="L405" s="1"/>
      <c r="M405" s="1">
        <v>2024</v>
      </c>
      <c r="N405" s="1"/>
      <c r="O405" s="1" t="e">
        <f>((O400-O402)/(P400-P402))*(0-P402)+(O402-npv_year_zero+2013)</f>
        <v>#N/A</v>
      </c>
      <c r="P405" s="1"/>
      <c r="Q405" s="1"/>
      <c r="R405" s="1"/>
      <c r="S405" s="1"/>
      <c r="T405" s="1"/>
      <c r="U405" s="1"/>
      <c r="V405" s="1"/>
      <c r="W405" s="1"/>
      <c r="X405" s="1"/>
      <c r="Y405" s="1"/>
      <c r="Z405" s="1"/>
      <c r="AA405" s="1"/>
      <c r="AB405" s="1"/>
      <c r="AC405" s="1"/>
      <c r="AD405" s="1"/>
    </row>
    <row r="406" spans="1:30" s="2" customFormat="1" x14ac:dyDescent="0.2">
      <c r="A406" s="121"/>
      <c r="B406" s="121"/>
      <c r="C406" s="121"/>
      <c r="D406" s="122"/>
      <c r="E406" s="122"/>
      <c r="F406" s="122"/>
      <c r="G406" s="122"/>
      <c r="H406" s="123"/>
      <c r="I406" s="123"/>
      <c r="J406" s="123"/>
      <c r="K406" s="123"/>
      <c r="L406" s="1"/>
      <c r="M406" s="1">
        <v>2025</v>
      </c>
      <c r="N406" s="1"/>
      <c r="O406" s="1" t="e">
        <f>npv_year_zero+$O$405</f>
        <v>#N/A</v>
      </c>
      <c r="P406" s="1"/>
      <c r="Q406" s="1"/>
      <c r="R406" s="1"/>
      <c r="S406" s="1"/>
      <c r="T406" s="1"/>
      <c r="U406" s="1"/>
      <c r="V406" s="1"/>
      <c r="W406" s="1"/>
      <c r="X406" s="1"/>
      <c r="Y406" s="1"/>
      <c r="Z406" s="1"/>
      <c r="AA406" s="1"/>
      <c r="AB406" s="1"/>
      <c r="AC406" s="1"/>
      <c r="AD406" s="1"/>
    </row>
    <row r="407" spans="1:30" s="2" customFormat="1" x14ac:dyDescent="0.2">
      <c r="A407" s="121"/>
      <c r="B407" s="121"/>
      <c r="C407" s="121"/>
      <c r="D407" s="122"/>
      <c r="E407" s="122"/>
      <c r="F407" s="122"/>
      <c r="G407" s="122"/>
      <c r="H407" s="123"/>
      <c r="I407" s="123"/>
      <c r="J407" s="123"/>
      <c r="K407" s="123"/>
      <c r="L407" s="1"/>
      <c r="M407" s="1">
        <v>2026</v>
      </c>
      <c r="N407" s="1"/>
      <c r="O407" s="1"/>
      <c r="P407" s="1"/>
      <c r="Q407" s="1"/>
      <c r="R407" s="1"/>
      <c r="S407" s="1"/>
      <c r="T407" s="1"/>
      <c r="U407" s="1"/>
      <c r="V407" s="1"/>
      <c r="W407" s="1"/>
      <c r="X407" s="1"/>
      <c r="Y407" s="1"/>
      <c r="Z407" s="1"/>
      <c r="AA407" s="1"/>
      <c r="AB407" s="1"/>
      <c r="AC407" s="1"/>
      <c r="AD407" s="1"/>
    </row>
    <row r="408" spans="1:30" s="2" customFormat="1" x14ac:dyDescent="0.2">
      <c r="A408" s="121"/>
      <c r="B408" s="121"/>
      <c r="C408" s="121"/>
      <c r="D408" s="122"/>
      <c r="E408" s="122"/>
      <c r="F408" s="122"/>
      <c r="G408" s="122"/>
      <c r="H408" s="123"/>
      <c r="I408" s="123"/>
      <c r="J408" s="123"/>
      <c r="K408" s="123"/>
      <c r="L408" s="1"/>
      <c r="M408" s="1">
        <v>2027</v>
      </c>
      <c r="N408" s="1"/>
      <c r="O408" s="1"/>
      <c r="P408" s="1"/>
      <c r="Q408" s="1"/>
      <c r="R408" s="1"/>
      <c r="S408" s="1"/>
      <c r="T408" s="1"/>
      <c r="U408" s="1"/>
      <c r="V408" s="1"/>
      <c r="W408" s="1"/>
      <c r="X408" s="1"/>
      <c r="Y408" s="1"/>
      <c r="Z408" s="1"/>
      <c r="AA408" s="1"/>
      <c r="AB408" s="1"/>
      <c r="AC408" s="1"/>
      <c r="AD408" s="1"/>
    </row>
    <row r="409" spans="1:30" s="2" customFormat="1" x14ac:dyDescent="0.2">
      <c r="A409" s="121"/>
      <c r="B409" s="121"/>
      <c r="C409" s="121"/>
      <c r="D409" s="122"/>
      <c r="E409" s="122"/>
      <c r="F409" s="122"/>
      <c r="G409" s="122"/>
      <c r="H409" s="123"/>
      <c r="I409" s="123"/>
      <c r="J409" s="123"/>
      <c r="K409" s="123"/>
      <c r="L409" s="1"/>
      <c r="M409" s="1">
        <v>2028</v>
      </c>
      <c r="N409" s="1"/>
      <c r="O409" s="1"/>
      <c r="P409" s="1"/>
      <c r="Q409" s="1"/>
      <c r="R409" s="1"/>
      <c r="S409" s="1"/>
      <c r="T409" s="1"/>
      <c r="U409" s="1"/>
      <c r="V409" s="1"/>
      <c r="W409" s="1"/>
      <c r="X409" s="1"/>
      <c r="Y409" s="1"/>
      <c r="Z409" s="1"/>
      <c r="AA409" s="1"/>
      <c r="AB409" s="1"/>
      <c r="AC409" s="1"/>
      <c r="AD409" s="1"/>
    </row>
    <row r="410" spans="1:30" s="2" customFormat="1" x14ac:dyDescent="0.2">
      <c r="A410" s="153" t="s">
        <v>70</v>
      </c>
      <c r="B410" s="121"/>
      <c r="C410" s="121"/>
      <c r="D410" s="122"/>
      <c r="E410" s="122"/>
      <c r="F410" s="122"/>
      <c r="G410" s="122"/>
      <c r="H410" s="123"/>
      <c r="I410" s="123"/>
      <c r="J410" s="123"/>
      <c r="K410" s="123"/>
      <c r="L410" s="1"/>
      <c r="M410" s="1">
        <v>2029</v>
      </c>
      <c r="N410" s="1"/>
      <c r="O410" s="1"/>
      <c r="P410" s="1"/>
      <c r="Q410" s="1"/>
      <c r="R410" s="1"/>
      <c r="S410" s="1"/>
      <c r="T410" s="1"/>
      <c r="U410" s="1"/>
      <c r="V410" s="1"/>
      <c r="W410" s="1"/>
      <c r="X410" s="1"/>
      <c r="Y410" s="1"/>
      <c r="Z410" s="1"/>
      <c r="AA410" s="1"/>
      <c r="AB410" s="1"/>
      <c r="AC410" s="1"/>
      <c r="AD410" s="1"/>
    </row>
    <row r="411" spans="1:30" s="2" customFormat="1" x14ac:dyDescent="0.2">
      <c r="A411" s="121" t="s">
        <v>63</v>
      </c>
      <c r="B411" s="213" t="str">
        <f>IF(ISERROR($O$400),"No cross",ROUNDDOWN($O$405,0))</f>
        <v>No cross</v>
      </c>
      <c r="C411" s="214" t="str">
        <f>IF(ISERROR($O$400),"","years")</f>
        <v/>
      </c>
      <c r="D411" s="215" t="str">
        <f>IF(ISERROR($O$400),"",ROUND(($O$405-ROUNDDOWN(O405,0))*12,0))</f>
        <v/>
      </c>
      <c r="E411" s="214" t="str">
        <f>IF(ISERROR($O$400),"","months")</f>
        <v/>
      </c>
      <c r="F411" s="216"/>
      <c r="G411" s="216"/>
      <c r="H411" s="217"/>
      <c r="I411" s="217"/>
      <c r="J411" s="217"/>
      <c r="K411" s="217"/>
      <c r="L411" s="1"/>
      <c r="M411" s="1">
        <v>2030</v>
      </c>
      <c r="N411" s="1"/>
      <c r="O411" s="1"/>
      <c r="P411" s="1"/>
      <c r="Q411" s="1"/>
      <c r="R411" s="1"/>
      <c r="S411" s="1"/>
      <c r="T411" s="1"/>
      <c r="U411" s="1"/>
      <c r="V411" s="1"/>
      <c r="W411" s="1"/>
      <c r="X411" s="1"/>
      <c r="Y411" s="1"/>
      <c r="Z411" s="1"/>
      <c r="AA411" s="1"/>
      <c r="AB411" s="1"/>
      <c r="AC411" s="1"/>
      <c r="AD411" s="1"/>
    </row>
    <row r="412" spans="1:30" s="2" customFormat="1" x14ac:dyDescent="0.2">
      <c r="A412" s="155" t="s">
        <v>98</v>
      </c>
      <c r="B412" s="213" t="str">
        <f>IF(ISERROR($O$400),"No cross",ROUNDDOWN($O$406,0))</f>
        <v>No cross</v>
      </c>
      <c r="C412" s="218" t="e">
        <f>O406</f>
        <v>#N/A</v>
      </c>
      <c r="D412" s="216"/>
      <c r="E412" s="216"/>
      <c r="F412" s="218" t="e">
        <f>npv_year_zero</f>
        <v>#N/A</v>
      </c>
      <c r="G412" s="216"/>
      <c r="H412" s="217"/>
      <c r="I412" s="217"/>
      <c r="J412" s="217"/>
      <c r="K412" s="217"/>
      <c r="L412" s="1"/>
      <c r="M412" s="1">
        <v>2031</v>
      </c>
      <c r="N412" s="1"/>
      <c r="O412" s="1"/>
      <c r="P412" s="1"/>
      <c r="Q412" s="1"/>
      <c r="R412" s="1"/>
      <c r="S412" s="1"/>
      <c r="T412" s="1"/>
      <c r="U412" s="1"/>
      <c r="V412" s="1"/>
      <c r="W412" s="1"/>
      <c r="X412" s="1"/>
      <c r="Y412" s="1"/>
      <c r="Z412" s="1"/>
      <c r="AA412" s="1"/>
      <c r="AB412" s="1"/>
      <c r="AC412" s="1"/>
      <c r="AD412" s="1"/>
    </row>
    <row r="413" spans="1:30" s="2" customFormat="1" x14ac:dyDescent="0.2">
      <c r="A413" s="121"/>
      <c r="B413" s="121"/>
      <c r="C413" s="121"/>
      <c r="D413" s="122"/>
      <c r="E413" s="122"/>
      <c r="F413" s="122"/>
      <c r="G413" s="174"/>
      <c r="H413" s="123"/>
      <c r="I413" s="123"/>
      <c r="J413" s="123"/>
      <c r="K413" s="123"/>
      <c r="L413" s="1"/>
      <c r="M413" s="1">
        <v>2032</v>
      </c>
      <c r="N413" s="1"/>
      <c r="O413" s="1"/>
      <c r="P413" s="1"/>
      <c r="Q413" s="1"/>
      <c r="R413" s="1"/>
      <c r="S413" s="1"/>
      <c r="T413" s="1"/>
      <c r="U413" s="1"/>
      <c r="V413" s="1"/>
      <c r="W413" s="1"/>
      <c r="X413" s="1"/>
      <c r="Y413" s="1"/>
      <c r="Z413" s="1"/>
      <c r="AA413" s="1"/>
      <c r="AB413" s="1"/>
      <c r="AC413" s="1"/>
      <c r="AD413" s="1"/>
    </row>
    <row r="414" spans="1:30" s="2" customFormat="1" x14ac:dyDescent="0.2">
      <c r="A414" s="153" t="s">
        <v>71</v>
      </c>
      <c r="B414" s="121"/>
      <c r="C414" s="121"/>
      <c r="D414" s="122"/>
      <c r="E414" s="122"/>
      <c r="F414" s="122"/>
      <c r="G414" s="122"/>
      <c r="H414" s="123"/>
      <c r="I414" s="123"/>
      <c r="J414" s="123"/>
      <c r="K414" s="123"/>
      <c r="L414" s="1"/>
      <c r="M414" s="1">
        <v>2033</v>
      </c>
      <c r="N414" s="1"/>
      <c r="O414" s="1"/>
      <c r="P414" s="1"/>
      <c r="Q414" s="1"/>
      <c r="R414" s="1"/>
      <c r="S414" s="1"/>
      <c r="T414" s="1"/>
      <c r="U414" s="1"/>
      <c r="V414" s="1"/>
      <c r="W414" s="1"/>
      <c r="X414" s="1"/>
      <c r="Y414" s="1"/>
      <c r="Z414" s="1"/>
      <c r="AA414" s="1"/>
      <c r="AB414" s="1"/>
      <c r="AC414" s="1"/>
      <c r="AD414" s="1"/>
    </row>
    <row r="415" spans="1:30" s="2" customFormat="1" x14ac:dyDescent="0.2">
      <c r="A415" s="168" t="s">
        <v>61</v>
      </c>
      <c r="B415" s="185"/>
      <c r="C415" s="121"/>
      <c r="D415" s="175"/>
      <c r="E415" s="122"/>
      <c r="F415" s="122"/>
      <c r="G415" s="122"/>
      <c r="H415" s="123"/>
      <c r="I415" s="123"/>
      <c r="J415" s="123"/>
      <c r="K415" s="123"/>
      <c r="L415" s="1"/>
      <c r="M415" s="1">
        <v>2034</v>
      </c>
      <c r="N415" s="1"/>
      <c r="O415" s="1"/>
      <c r="P415" s="1"/>
      <c r="Q415" s="1"/>
      <c r="R415" s="1"/>
      <c r="S415" s="1"/>
      <c r="T415" s="1"/>
      <c r="U415" s="1"/>
      <c r="V415" s="1"/>
      <c r="W415" s="1"/>
      <c r="X415" s="1"/>
      <c r="Y415" s="1"/>
      <c r="Z415" s="1"/>
      <c r="AA415" s="1"/>
      <c r="AB415" s="1"/>
      <c r="AC415" s="1"/>
      <c r="AD415" s="1"/>
    </row>
    <row r="416" spans="1:30" s="2" customFormat="1" x14ac:dyDescent="0.2">
      <c r="A416" s="155" t="str">
        <f>"Net Present Value at year "&amp;B415&amp;""</f>
        <v xml:space="preserve">Net Present Value at year </v>
      </c>
      <c r="B416" s="129" t="e">
        <f>HLOOKUP(Calculator!B415,'Hidden calcs1'!D2:Z535,ROW('Hidden calcs1'!D535)-1,FALSE)</f>
        <v>#N/A</v>
      </c>
      <c r="C416" s="121"/>
      <c r="D416" s="122"/>
      <c r="E416" s="122"/>
      <c r="F416" s="122"/>
      <c r="G416" s="122"/>
      <c r="H416" s="123"/>
      <c r="I416" s="123"/>
      <c r="J416" s="123"/>
      <c r="K416" s="123"/>
      <c r="L416" s="1"/>
      <c r="M416" s="1">
        <v>2035</v>
      </c>
      <c r="N416" s="1"/>
      <c r="O416" s="1"/>
      <c r="P416" s="1"/>
      <c r="Q416" s="1"/>
      <c r="R416" s="1"/>
      <c r="S416" s="1"/>
      <c r="T416" s="1"/>
      <c r="U416" s="1"/>
      <c r="V416" s="1"/>
      <c r="W416" s="1"/>
      <c r="X416" s="1"/>
      <c r="Y416" s="1"/>
      <c r="Z416" s="1"/>
      <c r="AA416" s="1"/>
      <c r="AB416" s="1"/>
      <c r="AC416" s="1"/>
      <c r="AD416" s="1"/>
    </row>
    <row r="417" spans="1:30" s="2" customFormat="1" x14ac:dyDescent="0.2">
      <c r="A417" s="155" t="str">
        <f>"Undiscounted cashflow at year "&amp;B415&amp;""</f>
        <v xml:space="preserve">Undiscounted cashflow at year </v>
      </c>
      <c r="B417" s="129" t="e">
        <f>HLOOKUP(Calculator!B415,'Hidden calcs1'!D2:Z303,ROW('Hidden calcs1'!D281)-1,FALSE)</f>
        <v>#N/A</v>
      </c>
      <c r="C417" s="121"/>
      <c r="D417" s="122"/>
      <c r="E417" s="122"/>
      <c r="F417" s="122"/>
      <c r="G417" s="122"/>
      <c r="H417" s="123"/>
      <c r="I417" s="123"/>
      <c r="J417" s="123"/>
      <c r="K417" s="123"/>
      <c r="L417" s="1"/>
      <c r="Q417" s="1"/>
      <c r="R417" s="1"/>
      <c r="S417" s="1"/>
      <c r="T417" s="1"/>
      <c r="U417" s="1"/>
      <c r="V417" s="1"/>
      <c r="W417" s="1"/>
      <c r="X417" s="1"/>
      <c r="Y417" s="1"/>
      <c r="Z417" s="1"/>
      <c r="AA417" s="1"/>
      <c r="AB417" s="1"/>
      <c r="AC417" s="1"/>
      <c r="AD417" s="1"/>
    </row>
    <row r="418" spans="1:30" s="2" customFormat="1" x14ac:dyDescent="0.2">
      <c r="A418" s="121"/>
      <c r="B418" s="129"/>
      <c r="C418" s="129"/>
      <c r="D418" s="129"/>
      <c r="E418" s="129"/>
      <c r="F418" s="129"/>
      <c r="G418" s="129"/>
      <c r="H418" s="123"/>
      <c r="I418" s="123"/>
      <c r="J418" s="123"/>
      <c r="K418" s="123"/>
      <c r="L418" s="1"/>
      <c r="M418" s="1"/>
      <c r="N418" s="1"/>
      <c r="O418" s="1"/>
      <c r="P418" s="1"/>
      <c r="Q418" s="1"/>
      <c r="R418" s="1"/>
      <c r="S418" s="1"/>
      <c r="T418" s="1"/>
      <c r="U418" s="1"/>
      <c r="V418" s="1"/>
      <c r="W418" s="1"/>
      <c r="X418" s="1"/>
      <c r="Y418" s="1"/>
      <c r="Z418" s="1"/>
      <c r="AA418" s="1"/>
      <c r="AB418" s="1"/>
      <c r="AC418" s="1"/>
      <c r="AD418" s="1"/>
    </row>
    <row r="419" spans="1:30" s="2" customFormat="1" x14ac:dyDescent="0.2">
      <c r="A419" s="153" t="s">
        <v>148</v>
      </c>
      <c r="B419" s="129"/>
      <c r="C419" s="129"/>
      <c r="D419" s="129"/>
      <c r="E419" s="129"/>
      <c r="F419" s="129"/>
      <c r="G419" s="129"/>
      <c r="H419" s="123"/>
      <c r="I419" s="123"/>
      <c r="J419" s="123"/>
      <c r="K419" s="123"/>
      <c r="L419" s="1"/>
      <c r="M419" s="1"/>
      <c r="N419" s="1"/>
      <c r="O419" s="1"/>
      <c r="P419" s="1"/>
      <c r="Q419" s="1"/>
      <c r="R419" s="1"/>
      <c r="S419" s="1"/>
      <c r="T419" s="1"/>
      <c r="U419" s="1"/>
      <c r="V419" s="1"/>
      <c r="W419" s="1"/>
      <c r="X419" s="1"/>
      <c r="Y419" s="1"/>
      <c r="Z419" s="1"/>
      <c r="AA419" s="1"/>
      <c r="AB419" s="1"/>
      <c r="AC419" s="1"/>
      <c r="AD419" s="1"/>
    </row>
    <row r="420" spans="1:30" s="2" customFormat="1" x14ac:dyDescent="0.2">
      <c r="A420" s="128" t="s">
        <v>180</v>
      </c>
      <c r="B420" s="129"/>
      <c r="C420" s="129"/>
      <c r="D420" s="129"/>
      <c r="E420" s="129"/>
      <c r="F420" s="129"/>
      <c r="G420" s="129"/>
      <c r="H420" s="123"/>
      <c r="I420" s="123"/>
      <c r="J420" s="123"/>
      <c r="K420" s="123"/>
      <c r="L420" s="1"/>
      <c r="M420" s="1"/>
      <c r="N420" s="1"/>
      <c r="O420" s="1"/>
      <c r="P420" s="1"/>
      <c r="Q420" s="1"/>
      <c r="R420" s="1"/>
      <c r="S420" s="1"/>
      <c r="T420" s="1"/>
      <c r="U420" s="1"/>
      <c r="V420" s="1"/>
      <c r="W420" s="1"/>
      <c r="X420" s="1"/>
      <c r="Y420" s="1"/>
      <c r="Z420" s="1"/>
      <c r="AA420" s="1"/>
      <c r="AB420" s="1"/>
      <c r="AC420" s="1"/>
      <c r="AD420" s="1"/>
    </row>
    <row r="421" spans="1:30" s="2" customFormat="1" x14ac:dyDescent="0.2">
      <c r="A421" s="128" t="s">
        <v>192</v>
      </c>
      <c r="B421" s="129"/>
      <c r="C421" s="129"/>
      <c r="D421" s="129"/>
      <c r="E421" s="129"/>
      <c r="F421" s="129"/>
      <c r="G421" s="129"/>
      <c r="H421" s="123"/>
      <c r="I421" s="123"/>
      <c r="J421" s="123"/>
      <c r="K421" s="123"/>
      <c r="L421" s="1"/>
      <c r="M421" s="1"/>
      <c r="N421" s="1"/>
      <c r="O421" s="1"/>
      <c r="P421" s="1"/>
      <c r="Q421" s="1"/>
      <c r="R421" s="1"/>
      <c r="S421" s="1"/>
      <c r="T421" s="1"/>
      <c r="U421" s="1"/>
      <c r="V421" s="1"/>
      <c r="W421" s="1"/>
      <c r="X421" s="1"/>
      <c r="Y421" s="1"/>
      <c r="Z421" s="1"/>
      <c r="AA421" s="1"/>
      <c r="AB421" s="1"/>
      <c r="AC421" s="1"/>
      <c r="AD421" s="1"/>
    </row>
    <row r="422" spans="1:30" s="2" customFormat="1" x14ac:dyDescent="0.2">
      <c r="A422" s="128" t="s">
        <v>195</v>
      </c>
      <c r="B422" s="129"/>
      <c r="C422" s="129"/>
      <c r="D422" s="129"/>
      <c r="E422" s="129"/>
      <c r="F422" s="129"/>
      <c r="G422" s="129"/>
      <c r="H422" s="123"/>
      <c r="I422" s="123"/>
      <c r="J422" s="123"/>
      <c r="K422" s="123"/>
      <c r="L422" s="1"/>
      <c r="M422" s="1"/>
      <c r="N422" s="1"/>
      <c r="O422" s="1"/>
      <c r="P422" s="1"/>
      <c r="Q422" s="1"/>
      <c r="R422" s="1"/>
      <c r="S422" s="1"/>
      <c r="T422" s="1"/>
      <c r="U422" s="1"/>
      <c r="V422" s="1"/>
      <c r="W422" s="1"/>
      <c r="X422" s="1"/>
      <c r="Y422" s="1"/>
      <c r="Z422" s="1"/>
      <c r="AA422" s="1"/>
      <c r="AB422" s="1"/>
      <c r="AC422" s="1"/>
      <c r="AD422" s="1"/>
    </row>
    <row r="423" spans="1:30" s="2" customFormat="1" x14ac:dyDescent="0.2">
      <c r="A423" s="128" t="s">
        <v>46</v>
      </c>
      <c r="B423" s="129"/>
      <c r="C423" s="129"/>
      <c r="D423" s="129"/>
      <c r="E423" s="129"/>
      <c r="F423" s="129"/>
      <c r="G423" s="129"/>
      <c r="H423" s="123"/>
      <c r="I423" s="123"/>
      <c r="J423" s="123"/>
      <c r="K423" s="123"/>
      <c r="L423" s="1"/>
      <c r="M423" s="1"/>
      <c r="N423" s="1"/>
      <c r="O423" s="1"/>
      <c r="P423" s="1"/>
      <c r="Q423" s="1"/>
      <c r="R423" s="1"/>
      <c r="S423" s="1"/>
      <c r="T423" s="1"/>
      <c r="U423" s="1"/>
      <c r="V423" s="1"/>
      <c r="W423" s="1"/>
      <c r="X423" s="1"/>
      <c r="Y423" s="1"/>
      <c r="Z423" s="1"/>
      <c r="AA423" s="1"/>
      <c r="AB423" s="1"/>
      <c r="AC423" s="1"/>
      <c r="AD423" s="1"/>
    </row>
    <row r="424" spans="1:30" s="2" customFormat="1" x14ac:dyDescent="0.2">
      <c r="A424" s="128" t="s">
        <v>153</v>
      </c>
      <c r="B424" s="129"/>
      <c r="C424" s="129"/>
      <c r="D424" s="129"/>
      <c r="E424" s="129"/>
      <c r="F424" s="129"/>
      <c r="G424" s="129"/>
      <c r="H424" s="123"/>
      <c r="I424" s="123"/>
      <c r="J424" s="123"/>
      <c r="K424" s="123"/>
      <c r="L424" s="1"/>
      <c r="M424" s="1"/>
      <c r="N424" s="1"/>
      <c r="O424" s="1"/>
      <c r="P424" s="1"/>
      <c r="Q424" s="1"/>
      <c r="R424" s="1"/>
      <c r="S424" s="1"/>
      <c r="T424" s="1"/>
      <c r="U424" s="1"/>
      <c r="V424" s="1"/>
      <c r="W424" s="1"/>
      <c r="X424" s="1"/>
      <c r="Y424" s="1"/>
      <c r="Z424" s="1"/>
      <c r="AA424" s="1"/>
      <c r="AB424" s="1"/>
      <c r="AC424" s="1"/>
      <c r="AD424" s="1"/>
    </row>
    <row r="425" spans="1:30" s="2" customFormat="1" x14ac:dyDescent="0.2">
      <c r="A425" s="128" t="s">
        <v>150</v>
      </c>
      <c r="B425" s="129"/>
      <c r="C425" s="129"/>
      <c r="D425" s="129"/>
      <c r="E425" s="129"/>
      <c r="F425" s="129"/>
      <c r="G425" s="129"/>
      <c r="H425" s="123"/>
      <c r="I425" s="123"/>
      <c r="J425" s="123"/>
      <c r="K425" s="123"/>
      <c r="L425" s="1"/>
      <c r="M425" s="1"/>
      <c r="N425" s="1"/>
      <c r="O425" s="1"/>
      <c r="P425" s="1"/>
      <c r="Q425" s="1"/>
      <c r="R425" s="1"/>
      <c r="S425" s="1"/>
      <c r="T425" s="1"/>
      <c r="U425" s="1"/>
      <c r="V425" s="1"/>
      <c r="W425" s="1"/>
      <c r="X425" s="1"/>
      <c r="Y425" s="1"/>
      <c r="Z425" s="1"/>
      <c r="AA425" s="1"/>
      <c r="AB425" s="1"/>
      <c r="AC425" s="1"/>
      <c r="AD425" s="1"/>
    </row>
    <row r="426" spans="1:30" s="2" customFormat="1" x14ac:dyDescent="0.2">
      <c r="A426" s="128" t="s">
        <v>151</v>
      </c>
      <c r="B426" s="129"/>
      <c r="C426" s="129"/>
      <c r="D426" s="129"/>
      <c r="E426" s="129"/>
      <c r="F426" s="129"/>
      <c r="G426" s="129"/>
      <c r="H426" s="123"/>
      <c r="I426" s="123"/>
      <c r="J426" s="123"/>
      <c r="K426" s="123"/>
      <c r="L426" s="1"/>
      <c r="M426" s="1"/>
      <c r="N426" s="1"/>
      <c r="O426" s="1"/>
      <c r="P426" s="1"/>
      <c r="Q426" s="1"/>
      <c r="R426" s="1"/>
      <c r="S426" s="1"/>
      <c r="T426" s="1"/>
      <c r="U426" s="1"/>
      <c r="V426" s="1"/>
      <c r="W426" s="1"/>
      <c r="X426" s="1"/>
      <c r="Y426" s="1"/>
      <c r="Z426" s="1"/>
      <c r="AA426" s="1"/>
      <c r="AB426" s="1"/>
      <c r="AC426" s="1"/>
      <c r="AD426" s="1"/>
    </row>
    <row r="427" spans="1:30" s="2" customFormat="1" x14ac:dyDescent="0.2">
      <c r="A427" s="128" t="s">
        <v>152</v>
      </c>
      <c r="B427" s="129"/>
      <c r="C427" s="129"/>
      <c r="D427" s="129"/>
      <c r="E427" s="129"/>
      <c r="F427" s="129"/>
      <c r="G427" s="129"/>
      <c r="H427" s="123"/>
      <c r="I427" s="123"/>
      <c r="J427" s="123"/>
      <c r="K427" s="123"/>
      <c r="L427" s="1"/>
      <c r="M427" s="1"/>
      <c r="N427" s="1"/>
      <c r="O427" s="1"/>
      <c r="P427" s="1"/>
      <c r="Q427" s="1"/>
      <c r="R427" s="1"/>
      <c r="S427" s="1"/>
      <c r="T427" s="1"/>
      <c r="U427" s="1"/>
      <c r="V427" s="1"/>
      <c r="W427" s="1"/>
      <c r="X427" s="1"/>
      <c r="Y427" s="1"/>
      <c r="Z427" s="1"/>
      <c r="AA427" s="1"/>
      <c r="AB427" s="1"/>
      <c r="AC427" s="1"/>
      <c r="AD427" s="1"/>
    </row>
    <row r="428" spans="1:30" s="2" customFormat="1" ht="13.5" customHeight="1" x14ac:dyDescent="0.2">
      <c r="A428" s="155"/>
      <c r="B428" s="121"/>
      <c r="C428" s="121"/>
      <c r="D428" s="122"/>
      <c r="E428" s="122"/>
      <c r="F428" s="122"/>
      <c r="G428" s="122"/>
      <c r="H428" s="123"/>
      <c r="I428" s="123"/>
      <c r="J428" s="123"/>
      <c r="K428" s="123"/>
      <c r="L428" s="1"/>
      <c r="M428" s="1"/>
      <c r="N428" s="1"/>
      <c r="O428" s="1"/>
      <c r="P428" s="1"/>
      <c r="Q428" s="1"/>
      <c r="R428" s="1"/>
      <c r="S428" s="1"/>
      <c r="T428" s="1"/>
      <c r="U428" s="1"/>
      <c r="V428" s="1"/>
      <c r="W428" s="1"/>
      <c r="X428" s="1"/>
      <c r="Y428" s="1"/>
      <c r="Z428" s="1"/>
      <c r="AA428" s="1"/>
      <c r="AB428" s="1"/>
      <c r="AC428" s="1"/>
      <c r="AD428" s="1"/>
    </row>
    <row r="429" spans="1:30" s="2" customFormat="1" ht="20.25" x14ac:dyDescent="0.3">
      <c r="A429" s="127" t="s">
        <v>152</v>
      </c>
      <c r="B429" s="121"/>
      <c r="C429" s="121"/>
      <c r="D429" s="122"/>
      <c r="E429" s="122"/>
      <c r="F429" s="122"/>
      <c r="G429" s="122"/>
      <c r="H429" s="123"/>
      <c r="I429" s="123"/>
      <c r="J429" s="123"/>
      <c r="K429" s="123"/>
      <c r="L429" s="1"/>
      <c r="Q429" s="1"/>
      <c r="R429" s="1"/>
      <c r="S429" s="1"/>
      <c r="T429" s="1"/>
      <c r="U429" s="1"/>
      <c r="V429" s="1"/>
      <c r="W429" s="1"/>
      <c r="X429" s="1"/>
      <c r="Y429" s="1"/>
      <c r="Z429" s="1"/>
      <c r="AA429" s="1"/>
      <c r="AB429" s="1"/>
      <c r="AC429" s="1"/>
      <c r="AD429" s="1"/>
    </row>
    <row r="430" spans="1:30" s="2" customFormat="1" x14ac:dyDescent="0.2">
      <c r="A430" s="134" t="s">
        <v>86</v>
      </c>
      <c r="B430" s="121"/>
      <c r="C430" s="121"/>
      <c r="D430" s="122"/>
      <c r="E430" s="122"/>
      <c r="F430" s="122"/>
      <c r="G430" s="122"/>
      <c r="H430" s="123"/>
      <c r="I430" s="123"/>
      <c r="J430" s="123"/>
      <c r="K430" s="123"/>
      <c r="L430" s="1"/>
      <c r="Q430" s="1"/>
      <c r="R430" s="1"/>
      <c r="S430" s="1"/>
      <c r="T430" s="1"/>
      <c r="U430" s="1"/>
      <c r="V430" s="1"/>
      <c r="W430" s="1"/>
      <c r="X430" s="1"/>
      <c r="Y430" s="1"/>
      <c r="Z430" s="1"/>
      <c r="AA430" s="1"/>
      <c r="AB430" s="1"/>
      <c r="AC430" s="1"/>
      <c r="AD430" s="1"/>
    </row>
    <row r="431" spans="1:30" s="2" customFormat="1" x14ac:dyDescent="0.2">
      <c r="A431" s="121"/>
      <c r="B431" s="121"/>
      <c r="C431" s="121"/>
      <c r="D431" s="122"/>
      <c r="E431" s="122"/>
      <c r="F431" s="122"/>
      <c r="G431" s="122"/>
      <c r="H431" s="123"/>
      <c r="I431" s="123"/>
      <c r="J431" s="123"/>
      <c r="K431" s="123"/>
      <c r="L431" s="1"/>
      <c r="Q431" s="1"/>
      <c r="R431" s="1"/>
      <c r="S431" s="1"/>
      <c r="T431" s="1"/>
      <c r="U431" s="1"/>
      <c r="V431" s="1"/>
      <c r="W431" s="1"/>
      <c r="X431" s="1"/>
      <c r="Y431" s="1"/>
      <c r="Z431" s="1"/>
      <c r="AA431" s="1"/>
      <c r="AB431" s="1"/>
      <c r="AC431" s="1"/>
      <c r="AD431" s="1"/>
    </row>
    <row r="432" spans="1:30" s="2" customFormat="1" ht="12.75" customHeight="1" x14ac:dyDescent="0.2">
      <c r="A432" s="121" t="s">
        <v>87</v>
      </c>
      <c r="B432" s="235"/>
      <c r="C432" s="236"/>
      <c r="D432" s="236"/>
      <c r="E432" s="122"/>
      <c r="F432" s="122"/>
      <c r="G432" s="122"/>
      <c r="H432" s="123"/>
      <c r="I432" s="161" t="s">
        <v>90</v>
      </c>
      <c r="J432" s="161" t="s">
        <v>91</v>
      </c>
      <c r="K432" s="123"/>
      <c r="L432" s="1"/>
      <c r="Q432" s="1"/>
      <c r="R432" s="1"/>
      <c r="S432" s="1"/>
      <c r="T432" s="1"/>
      <c r="U432" s="1"/>
      <c r="V432" s="1"/>
      <c r="W432" s="1"/>
      <c r="X432" s="1"/>
      <c r="Y432" s="1"/>
      <c r="Z432" s="1"/>
      <c r="AA432" s="1"/>
      <c r="AB432" s="1"/>
      <c r="AC432" s="1"/>
      <c r="AD432" s="1"/>
    </row>
    <row r="433" spans="1:30" s="2" customFormat="1" ht="12.75" customHeight="1" x14ac:dyDescent="0.2">
      <c r="A433" s="121" t="s">
        <v>88</v>
      </c>
      <c r="B433" s="235"/>
      <c r="C433" s="236"/>
      <c r="D433" s="236"/>
      <c r="E433" s="122"/>
      <c r="F433" s="122"/>
      <c r="G433" s="122"/>
      <c r="H433" s="123"/>
      <c r="I433" s="189"/>
      <c r="J433" s="189"/>
      <c r="K433" s="123"/>
      <c r="L433" s="1"/>
      <c r="Q433" s="1"/>
      <c r="R433" s="1"/>
      <c r="S433" s="1"/>
      <c r="T433" s="1"/>
      <c r="U433" s="1"/>
      <c r="V433" s="1"/>
      <c r="W433" s="1"/>
      <c r="X433" s="1"/>
      <c r="Y433" s="1"/>
      <c r="Z433" s="1"/>
      <c r="AA433" s="1"/>
      <c r="AB433" s="1"/>
      <c r="AC433" s="1"/>
      <c r="AD433" s="1"/>
    </row>
    <row r="434" spans="1:30" s="2" customFormat="1" ht="12.75" customHeight="1" x14ac:dyDescent="0.2">
      <c r="A434" s="121" t="s">
        <v>89</v>
      </c>
      <c r="B434" s="235"/>
      <c r="C434" s="236"/>
      <c r="D434" s="236"/>
      <c r="E434" s="122"/>
      <c r="F434" s="122"/>
      <c r="G434" s="122"/>
      <c r="H434" s="123"/>
      <c r="I434" s="189"/>
      <c r="J434" s="189"/>
      <c r="K434" s="123"/>
      <c r="L434" s="1"/>
      <c r="Q434" s="1"/>
      <c r="R434" s="1"/>
      <c r="S434" s="1"/>
      <c r="T434" s="1"/>
      <c r="U434" s="1"/>
      <c r="V434" s="1"/>
      <c r="W434" s="1"/>
      <c r="X434" s="1"/>
      <c r="Y434" s="1"/>
      <c r="Z434" s="1"/>
      <c r="AA434" s="1"/>
      <c r="AB434" s="1"/>
      <c r="AC434" s="1"/>
      <c r="AD434" s="1"/>
    </row>
    <row r="435" spans="1:30" s="2" customFormat="1" x14ac:dyDescent="0.2">
      <c r="A435" s="121"/>
      <c r="B435" s="121"/>
      <c r="C435" s="121"/>
      <c r="D435" s="122"/>
      <c r="E435" s="122"/>
      <c r="F435" s="122"/>
      <c r="G435" s="122"/>
      <c r="H435" s="123"/>
      <c r="I435" s="189"/>
      <c r="J435" s="189"/>
      <c r="K435" s="123"/>
      <c r="L435" s="1"/>
      <c r="Q435" s="1"/>
      <c r="R435" s="1"/>
      <c r="S435" s="1"/>
      <c r="T435" s="1"/>
      <c r="U435" s="1"/>
      <c r="V435" s="1"/>
      <c r="W435" s="1"/>
      <c r="X435" s="1"/>
      <c r="Y435" s="1"/>
      <c r="Z435" s="1"/>
      <c r="AA435" s="1"/>
      <c r="AB435" s="1"/>
      <c r="AC435" s="1"/>
      <c r="AD435" s="1"/>
    </row>
    <row r="436" spans="1:30" s="2" customFormat="1" x14ac:dyDescent="0.2">
      <c r="A436" s="121"/>
      <c r="B436" s="121"/>
      <c r="C436" s="121"/>
      <c r="D436" s="122"/>
      <c r="E436" s="122"/>
      <c r="F436" s="122"/>
      <c r="G436" s="122"/>
      <c r="H436" s="123"/>
      <c r="I436" s="189"/>
      <c r="J436" s="189"/>
      <c r="K436" s="123"/>
      <c r="L436" s="1"/>
      <c r="Q436" s="1"/>
      <c r="R436" s="1"/>
      <c r="S436" s="1"/>
      <c r="T436" s="1"/>
      <c r="U436" s="1"/>
      <c r="V436" s="1"/>
      <c r="W436" s="1"/>
      <c r="X436" s="1"/>
      <c r="Y436" s="1"/>
      <c r="Z436" s="1"/>
      <c r="AA436" s="1"/>
      <c r="AB436" s="1"/>
      <c r="AC436" s="1"/>
      <c r="AD436" s="1"/>
    </row>
    <row r="437" spans="1:30" s="2" customFormat="1" x14ac:dyDescent="0.2">
      <c r="A437" s="121"/>
      <c r="B437" s="121"/>
      <c r="C437" s="121"/>
      <c r="D437" s="122"/>
      <c r="E437" s="122"/>
      <c r="F437" s="122"/>
      <c r="G437" s="122"/>
      <c r="H437" s="123"/>
      <c r="I437" s="189"/>
      <c r="J437" s="189"/>
      <c r="K437" s="123"/>
      <c r="L437" s="1"/>
      <c r="Q437" s="1"/>
      <c r="R437" s="1"/>
      <c r="S437" s="1"/>
      <c r="T437" s="1"/>
      <c r="U437" s="1"/>
      <c r="V437" s="1"/>
      <c r="W437" s="1"/>
      <c r="X437" s="1"/>
      <c r="Y437" s="1"/>
      <c r="Z437" s="1"/>
      <c r="AA437" s="1"/>
      <c r="AB437" s="1"/>
      <c r="AC437" s="1"/>
      <c r="AD437" s="1"/>
    </row>
    <row r="438" spans="1:30" s="2" customFormat="1" x14ac:dyDescent="0.2">
      <c r="A438" s="121"/>
      <c r="B438" s="121"/>
      <c r="C438" s="121"/>
      <c r="D438" s="122"/>
      <c r="E438" s="122"/>
      <c r="F438" s="122"/>
      <c r="G438" s="122"/>
      <c r="H438" s="123"/>
      <c r="I438" s="189"/>
      <c r="J438" s="189"/>
      <c r="K438" s="123"/>
      <c r="L438" s="1"/>
      <c r="Q438" s="1"/>
      <c r="R438" s="1"/>
      <c r="S438" s="1"/>
      <c r="T438" s="1"/>
      <c r="U438" s="1"/>
      <c r="V438" s="1"/>
      <c r="W438" s="1"/>
      <c r="X438" s="1"/>
      <c r="Y438" s="1"/>
      <c r="Z438" s="1"/>
      <c r="AA438" s="1"/>
      <c r="AB438" s="1"/>
      <c r="AC438" s="1"/>
      <c r="AD438" s="1"/>
    </row>
    <row r="439" spans="1:30" s="2" customFormat="1" ht="12.75" customHeight="1" x14ac:dyDescent="0.2">
      <c r="A439" s="121"/>
      <c r="B439" s="121"/>
      <c r="C439" s="121"/>
      <c r="D439" s="122"/>
      <c r="E439" s="122"/>
      <c r="F439" s="122"/>
      <c r="G439" s="122"/>
      <c r="H439" s="123"/>
      <c r="I439" s="189"/>
      <c r="J439" s="189"/>
      <c r="K439" s="123"/>
      <c r="L439" s="1"/>
      <c r="Q439" s="1"/>
      <c r="R439" s="1"/>
      <c r="S439" s="1"/>
      <c r="T439" s="1"/>
      <c r="U439" s="1"/>
      <c r="V439" s="1"/>
      <c r="W439" s="1"/>
      <c r="X439" s="1"/>
      <c r="Y439" s="1"/>
      <c r="Z439" s="1"/>
      <c r="AA439" s="1"/>
      <c r="AB439" s="1"/>
      <c r="AC439" s="1"/>
      <c r="AD439" s="1"/>
    </row>
    <row r="440" spans="1:30" s="2" customFormat="1" ht="12.75" customHeight="1" x14ac:dyDescent="0.2">
      <c r="A440" s="121"/>
      <c r="B440" s="121"/>
      <c r="C440" s="121"/>
      <c r="D440" s="122"/>
      <c r="E440" s="122"/>
      <c r="F440" s="122"/>
      <c r="G440" s="122"/>
      <c r="H440" s="123"/>
      <c r="I440" s="189"/>
      <c r="J440" s="189"/>
      <c r="K440" s="123"/>
      <c r="L440" s="1"/>
      <c r="Q440" s="1"/>
      <c r="R440" s="1"/>
      <c r="S440" s="1"/>
      <c r="T440" s="1"/>
      <c r="U440" s="1"/>
      <c r="V440" s="1"/>
      <c r="W440" s="1"/>
      <c r="X440" s="1"/>
      <c r="Y440" s="1"/>
      <c r="Z440" s="1"/>
      <c r="AA440" s="1"/>
      <c r="AB440" s="1"/>
      <c r="AC440" s="1"/>
      <c r="AD440" s="1"/>
    </row>
    <row r="441" spans="1:30" s="2" customFormat="1" ht="12.75" customHeight="1" x14ac:dyDescent="0.2">
      <c r="A441" s="121"/>
      <c r="B441" s="121"/>
      <c r="C441" s="121"/>
      <c r="D441" s="122"/>
      <c r="E441" s="122"/>
      <c r="F441" s="122"/>
      <c r="G441" s="122"/>
      <c r="H441" s="123"/>
      <c r="I441" s="189"/>
      <c r="J441" s="189"/>
      <c r="K441" s="123"/>
      <c r="L441" s="1"/>
      <c r="Q441" s="1"/>
      <c r="R441" s="1"/>
      <c r="S441" s="1"/>
      <c r="T441" s="1"/>
      <c r="U441" s="1"/>
      <c r="V441" s="1"/>
      <c r="W441" s="1"/>
      <c r="X441" s="1"/>
      <c r="Y441" s="1"/>
      <c r="Z441" s="1"/>
      <c r="AA441" s="1"/>
      <c r="AB441" s="1"/>
      <c r="AC441" s="1"/>
      <c r="AD441" s="1"/>
    </row>
    <row r="442" spans="1:30" s="2" customFormat="1" x14ac:dyDescent="0.2">
      <c r="A442" s="121"/>
      <c r="B442" s="121"/>
      <c r="C442" s="121"/>
      <c r="D442" s="122"/>
      <c r="E442" s="122"/>
      <c r="F442" s="122"/>
      <c r="G442" s="122"/>
      <c r="H442" s="123"/>
      <c r="I442" s="189"/>
      <c r="J442" s="189"/>
      <c r="K442" s="123"/>
      <c r="L442" s="1"/>
      <c r="Q442" s="1"/>
      <c r="R442" s="1"/>
      <c r="S442" s="1"/>
      <c r="T442" s="1"/>
      <c r="U442" s="1"/>
      <c r="V442" s="1"/>
      <c r="W442" s="1"/>
      <c r="X442" s="1"/>
      <c r="Y442" s="1"/>
      <c r="Z442" s="1"/>
      <c r="AA442" s="1"/>
      <c r="AB442" s="1"/>
      <c r="AC442" s="1"/>
      <c r="AD442" s="1"/>
    </row>
    <row r="443" spans="1:30" s="2" customFormat="1" x14ac:dyDescent="0.2">
      <c r="A443" s="121"/>
      <c r="B443" s="121"/>
      <c r="C443" s="121"/>
      <c r="D443" s="122"/>
      <c r="E443" s="122"/>
      <c r="F443" s="122"/>
      <c r="G443" s="122"/>
      <c r="H443" s="123"/>
      <c r="I443" s="189"/>
      <c r="J443" s="189"/>
      <c r="K443" s="123"/>
      <c r="L443" s="1"/>
      <c r="M443" s="1"/>
      <c r="N443" s="1"/>
      <c r="O443" s="1"/>
      <c r="P443" s="1"/>
      <c r="Q443" s="1"/>
      <c r="R443" s="1"/>
      <c r="S443" s="1"/>
      <c r="T443" s="1"/>
      <c r="U443" s="1"/>
      <c r="V443" s="1"/>
      <c r="W443" s="1"/>
      <c r="X443" s="1"/>
      <c r="Y443" s="1"/>
      <c r="Z443" s="1"/>
      <c r="AA443" s="1"/>
      <c r="AB443" s="1"/>
      <c r="AC443" s="1"/>
      <c r="AD443" s="1"/>
    </row>
    <row r="444" spans="1:30" s="2" customFormat="1" x14ac:dyDescent="0.2">
      <c r="A444" s="121"/>
      <c r="B444" s="121"/>
      <c r="C444" s="121"/>
      <c r="D444" s="122"/>
      <c r="E444" s="122"/>
      <c r="F444" s="122"/>
      <c r="G444" s="122"/>
      <c r="H444" s="123"/>
      <c r="I444" s="189"/>
      <c r="J444" s="189"/>
      <c r="K444" s="123"/>
      <c r="L444" s="1"/>
      <c r="M444" s="1"/>
      <c r="N444" s="1"/>
      <c r="O444" s="1"/>
      <c r="P444" s="1"/>
      <c r="Q444" s="1"/>
      <c r="R444" s="1"/>
      <c r="S444" s="1"/>
      <c r="T444" s="1"/>
      <c r="U444" s="1"/>
      <c r="V444" s="1"/>
      <c r="W444" s="1"/>
      <c r="X444" s="1"/>
      <c r="Y444" s="1"/>
      <c r="Z444" s="1"/>
      <c r="AA444" s="1"/>
      <c r="AB444" s="1"/>
      <c r="AC444" s="1"/>
      <c r="AD444" s="1"/>
    </row>
    <row r="445" spans="1:30" s="2" customFormat="1" x14ac:dyDescent="0.2">
      <c r="A445" s="121"/>
      <c r="B445" s="121"/>
      <c r="C445" s="121"/>
      <c r="D445" s="122"/>
      <c r="E445" s="122"/>
      <c r="F445" s="122"/>
      <c r="G445" s="122"/>
      <c r="H445" s="123"/>
      <c r="I445" s="189"/>
      <c r="J445" s="189"/>
      <c r="K445" s="123"/>
      <c r="L445" s="1"/>
      <c r="M445" s="1"/>
      <c r="N445" s="1"/>
      <c r="O445" s="1"/>
      <c r="P445" s="1"/>
      <c r="Q445" s="1"/>
      <c r="R445" s="1"/>
      <c r="S445" s="1"/>
      <c r="T445" s="1"/>
      <c r="U445" s="1"/>
      <c r="V445" s="1"/>
      <c r="W445" s="1"/>
      <c r="X445" s="1"/>
      <c r="Y445" s="1"/>
      <c r="Z445" s="1"/>
      <c r="AA445" s="1"/>
      <c r="AB445" s="1"/>
      <c r="AC445" s="1"/>
      <c r="AD445" s="1"/>
    </row>
    <row r="446" spans="1:30" s="2" customFormat="1" x14ac:dyDescent="0.2">
      <c r="A446" s="121"/>
      <c r="B446" s="121"/>
      <c r="C446" s="121"/>
      <c r="D446" s="122"/>
      <c r="E446" s="122"/>
      <c r="F446" s="122"/>
      <c r="G446" s="122"/>
      <c r="H446" s="123"/>
      <c r="I446" s="189"/>
      <c r="J446" s="189"/>
      <c r="K446" s="123"/>
      <c r="L446" s="1"/>
      <c r="M446" s="1"/>
      <c r="N446" s="1"/>
      <c r="O446" s="1"/>
      <c r="P446" s="1"/>
      <c r="Q446" s="1"/>
      <c r="R446" s="1"/>
      <c r="S446" s="1"/>
      <c r="T446" s="1"/>
      <c r="U446" s="1"/>
      <c r="V446" s="1"/>
      <c r="W446" s="1"/>
      <c r="X446" s="1"/>
      <c r="Y446" s="1"/>
      <c r="Z446" s="1"/>
      <c r="AA446" s="1"/>
      <c r="AB446" s="1"/>
      <c r="AC446" s="1"/>
      <c r="AD446" s="1"/>
    </row>
    <row r="447" spans="1:30" s="2" customFormat="1" x14ac:dyDescent="0.2">
      <c r="A447" s="121"/>
      <c r="B447" s="121"/>
      <c r="C447" s="121"/>
      <c r="D447" s="122"/>
      <c r="E447" s="122"/>
      <c r="F447" s="122"/>
      <c r="G447" s="122"/>
      <c r="H447" s="123"/>
      <c r="I447" s="189"/>
      <c r="J447" s="189"/>
      <c r="K447" s="123"/>
      <c r="L447" s="1"/>
      <c r="M447" s="1"/>
      <c r="N447" s="1"/>
      <c r="O447" s="1"/>
      <c r="P447" s="1"/>
      <c r="Q447" s="1"/>
      <c r="R447" s="1"/>
      <c r="S447" s="1"/>
      <c r="T447" s="1"/>
      <c r="U447" s="1"/>
      <c r="V447" s="1"/>
      <c r="W447" s="1"/>
      <c r="X447" s="1"/>
      <c r="Y447" s="1"/>
      <c r="Z447" s="1"/>
      <c r="AA447" s="1"/>
      <c r="AB447" s="1"/>
      <c r="AC447" s="1"/>
      <c r="AD447" s="1"/>
    </row>
    <row r="448" spans="1:30" s="2" customFormat="1" x14ac:dyDescent="0.2">
      <c r="A448" s="121"/>
      <c r="B448" s="121"/>
      <c r="C448" s="121"/>
      <c r="D448" s="122"/>
      <c r="E448" s="122"/>
      <c r="F448" s="122"/>
      <c r="G448" s="122"/>
      <c r="H448" s="123"/>
      <c r="I448" s="189"/>
      <c r="J448" s="189"/>
      <c r="K448" s="123"/>
      <c r="L448" s="1"/>
      <c r="M448" s="1"/>
      <c r="N448" s="1"/>
      <c r="O448" s="1"/>
      <c r="P448" s="1"/>
      <c r="Q448" s="1"/>
      <c r="R448" s="1"/>
      <c r="S448" s="1"/>
      <c r="T448" s="1"/>
      <c r="U448" s="1"/>
      <c r="V448" s="1"/>
      <c r="W448" s="1"/>
      <c r="X448" s="1"/>
      <c r="Y448" s="1"/>
      <c r="Z448" s="1"/>
      <c r="AA448" s="1"/>
      <c r="AB448" s="1"/>
      <c r="AC448" s="1"/>
      <c r="AD448" s="1"/>
    </row>
    <row r="449" spans="1:30" s="2" customFormat="1" x14ac:dyDescent="0.2">
      <c r="A449" s="121"/>
      <c r="B449" s="121"/>
      <c r="C449" s="121"/>
      <c r="D449" s="122"/>
      <c r="E449" s="122"/>
      <c r="F449" s="122"/>
      <c r="G449" s="122"/>
      <c r="H449" s="123"/>
      <c r="I449" s="189"/>
      <c r="J449" s="189"/>
      <c r="K449" s="123"/>
      <c r="L449" s="1"/>
      <c r="M449" s="1"/>
      <c r="N449" s="1"/>
      <c r="O449" s="1"/>
      <c r="P449" s="1"/>
      <c r="Q449" s="1"/>
      <c r="R449" s="1"/>
      <c r="S449" s="1"/>
      <c r="T449" s="1"/>
      <c r="U449" s="1"/>
      <c r="V449" s="1"/>
      <c r="W449" s="1"/>
      <c r="X449" s="1"/>
      <c r="Y449" s="1"/>
      <c r="Z449" s="1"/>
      <c r="AA449" s="1"/>
      <c r="AB449" s="1"/>
      <c r="AC449" s="1"/>
      <c r="AD449" s="1"/>
    </row>
    <row r="450" spans="1:30" s="2" customFormat="1" x14ac:dyDescent="0.2">
      <c r="A450" s="121"/>
      <c r="B450" s="121"/>
      <c r="C450" s="121"/>
      <c r="D450" s="122"/>
      <c r="E450" s="122"/>
      <c r="F450" s="122"/>
      <c r="G450" s="122"/>
      <c r="H450" s="123"/>
      <c r="I450" s="189"/>
      <c r="J450" s="189"/>
      <c r="K450" s="123"/>
      <c r="L450" s="1"/>
      <c r="M450" s="1"/>
      <c r="N450" s="1"/>
      <c r="O450" s="1"/>
      <c r="P450" s="1"/>
      <c r="Q450" s="1"/>
      <c r="R450" s="1"/>
      <c r="S450" s="1"/>
      <c r="T450" s="1"/>
      <c r="U450" s="1"/>
      <c r="V450" s="1"/>
      <c r="W450" s="1"/>
      <c r="X450" s="1"/>
      <c r="Y450" s="1"/>
      <c r="Z450" s="1"/>
      <c r="AA450" s="1"/>
      <c r="AB450" s="1"/>
      <c r="AC450" s="1"/>
      <c r="AD450" s="1"/>
    </row>
    <row r="451" spans="1:30" s="2" customFormat="1" x14ac:dyDescent="0.2">
      <c r="A451" s="121"/>
      <c r="B451" s="121"/>
      <c r="C451" s="121"/>
      <c r="D451" s="122"/>
      <c r="E451" s="122"/>
      <c r="F451" s="122"/>
      <c r="G451" s="122"/>
      <c r="H451" s="123"/>
      <c r="I451" s="189"/>
      <c r="J451" s="189"/>
      <c r="K451" s="123"/>
      <c r="L451" s="1"/>
      <c r="M451" s="1"/>
      <c r="N451" s="1"/>
      <c r="O451" s="1"/>
      <c r="P451" s="1"/>
      <c r="Q451" s="1"/>
      <c r="R451" s="1"/>
      <c r="S451" s="1"/>
      <c r="T451" s="1"/>
      <c r="U451" s="1"/>
      <c r="V451" s="1"/>
      <c r="W451" s="1"/>
      <c r="X451" s="1"/>
      <c r="Y451" s="1"/>
      <c r="Z451" s="1"/>
      <c r="AA451" s="1"/>
      <c r="AB451" s="1"/>
      <c r="AC451" s="1"/>
      <c r="AD451" s="1"/>
    </row>
    <row r="452" spans="1:30" s="2" customFormat="1" x14ac:dyDescent="0.2">
      <c r="A452" s="121"/>
      <c r="B452" s="121"/>
      <c r="C452" s="121"/>
      <c r="D452" s="122"/>
      <c r="E452" s="122"/>
      <c r="F452" s="122"/>
      <c r="G452" s="122"/>
      <c r="H452" s="123"/>
      <c r="I452" s="189"/>
      <c r="J452" s="189"/>
      <c r="K452" s="123"/>
      <c r="L452" s="1"/>
      <c r="M452" s="1"/>
      <c r="N452" s="1"/>
      <c r="O452" s="1"/>
      <c r="P452" s="1"/>
      <c r="Q452" s="1"/>
      <c r="R452" s="1"/>
      <c r="S452" s="1"/>
      <c r="T452" s="1"/>
      <c r="U452" s="1"/>
      <c r="V452" s="1"/>
      <c r="W452" s="1"/>
      <c r="X452" s="1"/>
      <c r="Y452" s="1"/>
      <c r="Z452" s="1"/>
      <c r="AA452" s="1"/>
      <c r="AB452" s="1"/>
      <c r="AC452" s="1"/>
      <c r="AD452" s="1"/>
    </row>
    <row r="453" spans="1:30" s="2" customFormat="1" x14ac:dyDescent="0.2">
      <c r="A453" s="121"/>
      <c r="B453" s="121"/>
      <c r="C453" s="121"/>
      <c r="D453" s="122"/>
      <c r="E453" s="122"/>
      <c r="F453" s="122"/>
      <c r="G453" s="122"/>
      <c r="H453" s="123"/>
      <c r="I453" s="189"/>
      <c r="J453" s="189"/>
      <c r="K453" s="123"/>
      <c r="L453" s="1"/>
      <c r="M453" s="1"/>
      <c r="N453" s="1"/>
      <c r="O453" s="1"/>
      <c r="P453" s="1"/>
      <c r="Q453" s="1"/>
      <c r="R453" s="1"/>
      <c r="S453" s="1"/>
      <c r="T453" s="1"/>
      <c r="U453" s="1"/>
      <c r="V453" s="1"/>
      <c r="W453" s="1"/>
      <c r="X453" s="1"/>
      <c r="Y453" s="1"/>
      <c r="Z453" s="1"/>
      <c r="AA453" s="1"/>
      <c r="AB453" s="1"/>
      <c r="AC453" s="1"/>
      <c r="AD453" s="1"/>
    </row>
    <row r="454" spans="1:30" s="2" customFormat="1" x14ac:dyDescent="0.2">
      <c r="A454" s="121"/>
      <c r="B454" s="121"/>
      <c r="C454" s="121"/>
      <c r="D454" s="122"/>
      <c r="E454" s="122"/>
      <c r="F454" s="122"/>
      <c r="G454" s="122"/>
      <c r="H454" s="123"/>
      <c r="I454" s="189"/>
      <c r="J454" s="189"/>
      <c r="K454" s="123"/>
      <c r="L454" s="1"/>
      <c r="M454" s="1"/>
      <c r="N454" s="1"/>
      <c r="O454" s="1"/>
      <c r="P454" s="1"/>
      <c r="Q454" s="1"/>
      <c r="R454" s="1"/>
      <c r="S454" s="1"/>
      <c r="T454" s="1"/>
      <c r="U454" s="1"/>
      <c r="V454" s="1"/>
      <c r="W454" s="1"/>
      <c r="X454" s="1"/>
      <c r="Y454" s="1"/>
      <c r="Z454" s="1"/>
      <c r="AA454" s="1"/>
      <c r="AB454" s="1"/>
      <c r="AC454" s="1"/>
      <c r="AD454" s="1"/>
    </row>
    <row r="455" spans="1:30" s="2" customFormat="1" x14ac:dyDescent="0.2">
      <c r="A455" s="121"/>
      <c r="B455" s="121"/>
      <c r="C455" s="121"/>
      <c r="D455" s="122"/>
      <c r="E455" s="122"/>
      <c r="F455" s="122"/>
      <c r="G455" s="122"/>
      <c r="H455" s="123"/>
      <c r="I455" s="189"/>
      <c r="J455" s="189"/>
      <c r="K455" s="123"/>
      <c r="L455" s="1"/>
      <c r="M455" s="1"/>
      <c r="N455" s="1"/>
      <c r="O455" s="1"/>
      <c r="P455" s="234"/>
      <c r="Q455" s="234"/>
      <c r="R455" s="234"/>
      <c r="S455" s="1"/>
      <c r="T455" s="1"/>
      <c r="U455" s="1"/>
      <c r="V455" s="1"/>
      <c r="W455" s="1"/>
      <c r="X455" s="1"/>
      <c r="Y455" s="1"/>
      <c r="Z455" s="1"/>
      <c r="AA455" s="1"/>
      <c r="AB455" s="1"/>
      <c r="AC455" s="1"/>
      <c r="AD455" s="1"/>
    </row>
    <row r="456" spans="1:30" s="2" customFormat="1" x14ac:dyDescent="0.2">
      <c r="A456" s="121"/>
      <c r="B456" s="121"/>
      <c r="C456" s="121"/>
      <c r="D456" s="122"/>
      <c r="E456" s="122"/>
      <c r="F456" s="122"/>
      <c r="G456" s="122"/>
      <c r="H456" s="123"/>
      <c r="I456" s="189"/>
      <c r="J456" s="189"/>
      <c r="K456" s="123"/>
      <c r="L456" s="1"/>
      <c r="M456" s="1"/>
      <c r="N456" s="1"/>
      <c r="O456" s="1"/>
      <c r="P456" s="234"/>
      <c r="Q456" s="234"/>
      <c r="R456" s="234"/>
      <c r="S456" s="1"/>
      <c r="T456" s="1"/>
      <c r="U456" s="1"/>
      <c r="V456" s="1"/>
      <c r="W456" s="1"/>
      <c r="X456" s="1"/>
      <c r="Y456" s="1"/>
      <c r="Z456" s="1"/>
      <c r="AA456" s="1"/>
      <c r="AB456" s="1"/>
      <c r="AC456" s="1"/>
      <c r="AD456" s="1"/>
    </row>
    <row r="457" spans="1:30" s="2" customFormat="1" x14ac:dyDescent="0.2">
      <c r="A457" s="121"/>
      <c r="B457" s="121"/>
      <c r="C457" s="121"/>
      <c r="D457" s="122"/>
      <c r="E457" s="122"/>
      <c r="F457" s="122"/>
      <c r="G457" s="122"/>
      <c r="H457" s="123"/>
      <c r="I457" s="189"/>
      <c r="J457" s="189"/>
      <c r="K457" s="123"/>
      <c r="L457" s="1"/>
      <c r="M457" s="1"/>
      <c r="N457" s="1"/>
      <c r="O457" s="1"/>
      <c r="P457" s="234"/>
      <c r="Q457" s="234"/>
      <c r="R457" s="234"/>
      <c r="S457" s="1"/>
      <c r="T457" s="1"/>
      <c r="U457" s="1"/>
      <c r="V457" s="1"/>
      <c r="W457" s="1"/>
      <c r="X457" s="1"/>
      <c r="Y457" s="1"/>
      <c r="Z457" s="1"/>
      <c r="AA457" s="1"/>
      <c r="AB457" s="1"/>
      <c r="AC457" s="1"/>
      <c r="AD457" s="1"/>
    </row>
    <row r="458" spans="1:30" s="2" customFormat="1" x14ac:dyDescent="0.2">
      <c r="A458" s="121"/>
      <c r="B458" s="121"/>
      <c r="C458" s="121"/>
      <c r="D458" s="122"/>
      <c r="E458" s="122"/>
      <c r="F458" s="122"/>
      <c r="G458" s="122"/>
      <c r="H458" s="123"/>
      <c r="I458" s="189"/>
      <c r="J458" s="189"/>
      <c r="K458" s="123"/>
      <c r="L458" s="1"/>
      <c r="M458" s="1"/>
      <c r="N458" s="1"/>
      <c r="O458" s="1"/>
      <c r="P458" s="1"/>
      <c r="Q458" s="1"/>
      <c r="R458" s="1"/>
      <c r="S458" s="1"/>
      <c r="T458" s="1"/>
      <c r="U458" s="1"/>
      <c r="V458" s="1"/>
      <c r="W458" s="1"/>
      <c r="X458" s="1"/>
      <c r="Y458" s="1"/>
      <c r="Z458" s="1"/>
      <c r="AA458" s="1"/>
      <c r="AB458" s="1"/>
      <c r="AC458" s="1"/>
      <c r="AD458" s="1"/>
    </row>
    <row r="459" spans="1:30" s="2" customFormat="1" x14ac:dyDescent="0.2">
      <c r="A459" s="121"/>
      <c r="B459" s="121"/>
      <c r="C459" s="121"/>
      <c r="D459" s="122"/>
      <c r="E459" s="122"/>
      <c r="F459" s="122"/>
      <c r="G459" s="122"/>
      <c r="H459" s="123"/>
      <c r="I459" s="189"/>
      <c r="J459" s="189"/>
      <c r="K459" s="123"/>
      <c r="L459" s="1"/>
      <c r="M459" s="1"/>
      <c r="N459" s="1"/>
      <c r="O459" s="1"/>
      <c r="P459" s="1"/>
      <c r="Q459" s="1"/>
      <c r="R459" s="1"/>
      <c r="S459" s="1"/>
      <c r="T459" s="1"/>
      <c r="U459" s="1"/>
      <c r="V459" s="1"/>
      <c r="W459" s="1"/>
      <c r="X459" s="1"/>
      <c r="Y459" s="1"/>
      <c r="Z459" s="1"/>
      <c r="AA459" s="1"/>
      <c r="AB459" s="1"/>
      <c r="AC459" s="1"/>
      <c r="AD459" s="1"/>
    </row>
    <row r="460" spans="1:30" s="2" customFormat="1" x14ac:dyDescent="0.2">
      <c r="A460" s="121"/>
      <c r="B460" s="121"/>
      <c r="C460" s="121"/>
      <c r="D460" s="122"/>
      <c r="E460" s="122"/>
      <c r="F460" s="122"/>
      <c r="G460" s="122"/>
      <c r="H460" s="123"/>
      <c r="I460" s="189"/>
      <c r="J460" s="189"/>
      <c r="K460" s="123"/>
      <c r="L460" s="1"/>
      <c r="M460" s="1"/>
      <c r="N460" s="1"/>
      <c r="O460" s="1"/>
      <c r="P460" s="1"/>
      <c r="Q460" s="1"/>
      <c r="R460" s="1"/>
      <c r="S460" s="1"/>
      <c r="T460" s="1"/>
      <c r="U460" s="1"/>
      <c r="V460" s="1"/>
      <c r="W460" s="1"/>
      <c r="X460" s="1"/>
      <c r="Y460" s="1"/>
      <c r="Z460" s="1"/>
      <c r="AA460" s="1"/>
      <c r="AB460" s="1"/>
      <c r="AC460" s="1"/>
      <c r="AD460" s="1"/>
    </row>
    <row r="461" spans="1:30" s="2" customFormat="1" x14ac:dyDescent="0.2">
      <c r="A461" s="121"/>
      <c r="B461" s="121"/>
      <c r="C461" s="121"/>
      <c r="D461" s="122"/>
      <c r="E461" s="122"/>
      <c r="F461" s="122"/>
      <c r="G461" s="122"/>
      <c r="H461" s="123"/>
      <c r="I461" s="189"/>
      <c r="J461" s="189"/>
      <c r="K461" s="123"/>
      <c r="L461" s="1"/>
      <c r="M461" s="1"/>
      <c r="N461" s="1"/>
      <c r="O461" s="1"/>
      <c r="P461" s="1"/>
      <c r="Q461" s="1"/>
      <c r="R461" s="1"/>
      <c r="S461" s="1"/>
      <c r="T461" s="1"/>
      <c r="U461" s="1"/>
      <c r="V461" s="1"/>
      <c r="W461" s="1"/>
      <c r="X461" s="1"/>
      <c r="Y461" s="1"/>
      <c r="Z461" s="1"/>
      <c r="AA461" s="1"/>
      <c r="AB461" s="1"/>
      <c r="AC461" s="1"/>
      <c r="AD461" s="1"/>
    </row>
    <row r="462" spans="1:30" s="2" customFormat="1" x14ac:dyDescent="0.2">
      <c r="A462" s="121"/>
      <c r="B462" s="121"/>
      <c r="C462" s="121"/>
      <c r="D462" s="122"/>
      <c r="E462" s="122"/>
      <c r="F462" s="122"/>
      <c r="G462" s="122"/>
      <c r="H462" s="123"/>
      <c r="I462" s="189"/>
      <c r="J462" s="189"/>
      <c r="K462" s="123"/>
      <c r="L462" s="1"/>
      <c r="M462" s="1"/>
      <c r="N462" s="1"/>
      <c r="O462" s="1"/>
      <c r="P462" s="1"/>
      <c r="Q462" s="1"/>
      <c r="R462" s="1"/>
      <c r="S462" s="1"/>
      <c r="T462" s="1"/>
      <c r="U462" s="1"/>
      <c r="V462" s="1"/>
      <c r="W462" s="1"/>
      <c r="X462" s="1"/>
      <c r="Y462" s="1"/>
      <c r="Z462" s="1"/>
      <c r="AA462" s="1"/>
      <c r="AB462" s="1"/>
      <c r="AC462" s="1"/>
      <c r="AD462" s="1"/>
    </row>
    <row r="463" spans="1:30" s="2" customFormat="1" x14ac:dyDescent="0.2">
      <c r="A463" s="121"/>
      <c r="B463" s="121"/>
      <c r="C463" s="121"/>
      <c r="D463" s="122"/>
      <c r="E463" s="122"/>
      <c r="F463" s="122"/>
      <c r="G463" s="122"/>
      <c r="H463" s="123"/>
      <c r="I463" s="189"/>
      <c r="J463" s="189"/>
      <c r="K463" s="123"/>
      <c r="L463" s="1"/>
      <c r="M463" s="1"/>
      <c r="N463" s="1"/>
      <c r="O463" s="1"/>
      <c r="P463" s="1"/>
      <c r="Q463" s="1"/>
      <c r="R463" s="1"/>
      <c r="S463" s="1"/>
      <c r="T463" s="1"/>
      <c r="U463" s="1"/>
      <c r="V463" s="1"/>
      <c r="W463" s="1"/>
      <c r="X463" s="1"/>
      <c r="Y463" s="1"/>
      <c r="Z463" s="1"/>
      <c r="AA463" s="1"/>
      <c r="AB463" s="1"/>
      <c r="AC463" s="1"/>
      <c r="AD463" s="1"/>
    </row>
    <row r="464" spans="1:30" s="2" customFormat="1" x14ac:dyDescent="0.2">
      <c r="A464" s="121"/>
      <c r="B464" s="121"/>
      <c r="C464" s="121"/>
      <c r="D464" s="122"/>
      <c r="E464" s="122"/>
      <c r="F464" s="122"/>
      <c r="G464" s="122"/>
      <c r="H464" s="123"/>
      <c r="I464" s="189"/>
      <c r="J464" s="189"/>
      <c r="K464" s="123"/>
      <c r="L464" s="1"/>
      <c r="M464" s="1"/>
      <c r="N464" s="1"/>
      <c r="O464" s="1"/>
      <c r="P464" s="1"/>
      <c r="Q464" s="1"/>
      <c r="R464" s="1"/>
      <c r="S464" s="1"/>
      <c r="T464" s="1"/>
      <c r="U464" s="1"/>
      <c r="V464" s="1"/>
      <c r="W464" s="1"/>
      <c r="X464" s="1"/>
      <c r="Y464" s="1"/>
      <c r="Z464" s="1"/>
      <c r="AA464" s="1"/>
      <c r="AB464" s="1"/>
      <c r="AC464" s="1"/>
      <c r="AD464" s="1"/>
    </row>
    <row r="465" spans="1:30" s="2" customFormat="1" x14ac:dyDescent="0.2">
      <c r="A465" s="121"/>
      <c r="B465" s="121"/>
      <c r="C465" s="121"/>
      <c r="D465" s="122"/>
      <c r="E465" s="122"/>
      <c r="F465" s="122"/>
      <c r="G465" s="122"/>
      <c r="H465" s="123"/>
      <c r="I465" s="189"/>
      <c r="J465" s="189"/>
      <c r="K465" s="123"/>
      <c r="L465" s="1"/>
      <c r="M465" s="1"/>
      <c r="N465" s="1"/>
      <c r="O465" s="1"/>
      <c r="P465" s="1"/>
      <c r="Q465" s="1"/>
      <c r="R465" s="1"/>
      <c r="S465" s="1"/>
      <c r="T465" s="1"/>
      <c r="U465" s="1"/>
      <c r="V465" s="1"/>
      <c r="W465" s="1"/>
      <c r="X465" s="1"/>
      <c r="Y465" s="1"/>
      <c r="Z465" s="1"/>
      <c r="AA465" s="1"/>
      <c r="AB465" s="1"/>
      <c r="AC465" s="1"/>
      <c r="AD465" s="1"/>
    </row>
    <row r="466" spans="1:30" s="2" customFormat="1" x14ac:dyDescent="0.2">
      <c r="A466" s="121"/>
      <c r="B466" s="121"/>
      <c r="C466" s="121"/>
      <c r="D466" s="122"/>
      <c r="E466" s="122"/>
      <c r="F466" s="122"/>
      <c r="G466" s="122"/>
      <c r="H466" s="123"/>
      <c r="I466" s="189"/>
      <c r="J466" s="189"/>
      <c r="K466" s="123"/>
      <c r="L466" s="1"/>
      <c r="M466" s="1"/>
      <c r="N466" s="1"/>
      <c r="O466" s="1"/>
      <c r="P466" s="1"/>
      <c r="Q466" s="1"/>
      <c r="R466" s="1"/>
      <c r="S466" s="1"/>
      <c r="T466" s="1"/>
      <c r="U466" s="1"/>
      <c r="V466" s="1"/>
      <c r="W466" s="1"/>
      <c r="X466" s="1"/>
      <c r="Y466" s="1"/>
      <c r="Z466" s="1"/>
      <c r="AA466" s="1"/>
      <c r="AB466" s="1"/>
      <c r="AC466" s="1"/>
      <c r="AD466" s="1"/>
    </row>
    <row r="467" spans="1:30" s="2" customFormat="1" x14ac:dyDescent="0.2">
      <c r="A467" s="121"/>
      <c r="B467" s="121"/>
      <c r="C467" s="121"/>
      <c r="D467" s="122"/>
      <c r="E467" s="122"/>
      <c r="F467" s="122"/>
      <c r="G467" s="122"/>
      <c r="H467" s="123"/>
      <c r="I467" s="189"/>
      <c r="J467" s="189"/>
      <c r="K467" s="123"/>
      <c r="L467" s="1"/>
      <c r="M467" s="1"/>
      <c r="N467" s="1"/>
      <c r="O467" s="1"/>
      <c r="P467" s="1"/>
      <c r="Q467" s="1"/>
      <c r="R467" s="1"/>
      <c r="S467" s="1"/>
      <c r="T467" s="1"/>
      <c r="U467" s="1"/>
      <c r="V467" s="1"/>
      <c r="W467" s="1"/>
      <c r="X467" s="1"/>
      <c r="Y467" s="1"/>
      <c r="Z467" s="1"/>
      <c r="AA467" s="1"/>
      <c r="AB467" s="1"/>
      <c r="AC467" s="1"/>
      <c r="AD467" s="1"/>
    </row>
    <row r="468" spans="1:30" s="2" customFormat="1" x14ac:dyDescent="0.2">
      <c r="A468" s="121"/>
      <c r="B468" s="121"/>
      <c r="C468" s="121"/>
      <c r="D468" s="122"/>
      <c r="E468" s="122"/>
      <c r="F468" s="122"/>
      <c r="G468" s="122"/>
      <c r="H468" s="123"/>
      <c r="I468" s="189"/>
      <c r="J468" s="189"/>
      <c r="K468" s="123"/>
      <c r="L468" s="1"/>
      <c r="M468" s="1"/>
      <c r="N468" s="1"/>
      <c r="O468" s="1"/>
      <c r="P468" s="1"/>
      <c r="Q468" s="1"/>
      <c r="R468" s="1"/>
      <c r="S468" s="1"/>
      <c r="T468" s="1"/>
      <c r="U468" s="1"/>
      <c r="V468" s="1"/>
      <c r="W468" s="1"/>
      <c r="X468" s="1"/>
      <c r="Y468" s="1"/>
      <c r="Z468" s="1"/>
      <c r="AA468" s="1"/>
      <c r="AB468" s="1"/>
      <c r="AC468" s="1"/>
      <c r="AD468" s="1"/>
    </row>
    <row r="469" spans="1:30" s="2" customFormat="1" x14ac:dyDescent="0.2">
      <c r="A469" s="121"/>
      <c r="B469" s="121"/>
      <c r="C469" s="121"/>
      <c r="D469" s="122"/>
      <c r="E469" s="122"/>
      <c r="F469" s="122"/>
      <c r="G469" s="122"/>
      <c r="H469" s="123"/>
      <c r="I469" s="189"/>
      <c r="J469" s="189"/>
      <c r="K469" s="123"/>
      <c r="L469" s="1"/>
      <c r="M469" s="1"/>
      <c r="N469" s="1"/>
      <c r="O469" s="1"/>
      <c r="P469" s="1"/>
      <c r="Q469" s="1"/>
      <c r="R469" s="1"/>
      <c r="S469" s="1"/>
      <c r="T469" s="1"/>
      <c r="U469" s="1"/>
      <c r="V469" s="1"/>
      <c r="W469" s="1"/>
      <c r="X469" s="1"/>
      <c r="Y469" s="1"/>
      <c r="Z469" s="1"/>
      <c r="AA469" s="1"/>
      <c r="AB469" s="1"/>
      <c r="AC469" s="1"/>
      <c r="AD469" s="1"/>
    </row>
    <row r="470" spans="1:30" s="2" customFormat="1" x14ac:dyDescent="0.2">
      <c r="A470" s="121"/>
      <c r="B470" s="121"/>
      <c r="C470" s="121"/>
      <c r="D470" s="122"/>
      <c r="E470" s="122"/>
      <c r="F470" s="122"/>
      <c r="G470" s="122"/>
      <c r="H470" s="123"/>
      <c r="I470" s="189"/>
      <c r="J470" s="189"/>
      <c r="K470" s="123"/>
      <c r="L470" s="1"/>
      <c r="M470" s="1"/>
      <c r="N470" s="1"/>
      <c r="O470" s="1"/>
      <c r="P470" s="1"/>
      <c r="Q470" s="1"/>
      <c r="R470" s="1"/>
      <c r="S470" s="1"/>
      <c r="T470" s="1"/>
      <c r="U470" s="1"/>
      <c r="V470" s="1"/>
      <c r="W470" s="1"/>
      <c r="X470" s="1"/>
      <c r="Y470" s="1"/>
      <c r="Z470" s="1"/>
      <c r="AA470" s="1"/>
      <c r="AB470" s="1"/>
      <c r="AC470" s="1"/>
      <c r="AD470" s="1"/>
    </row>
    <row r="471" spans="1:30" s="2" customFormat="1" x14ac:dyDescent="0.2">
      <c r="A471" s="121"/>
      <c r="B471" s="121"/>
      <c r="C471" s="121"/>
      <c r="D471" s="122"/>
      <c r="E471" s="122"/>
      <c r="F471" s="122"/>
      <c r="G471" s="122"/>
      <c r="H471" s="123"/>
      <c r="I471" s="189"/>
      <c r="J471" s="189"/>
      <c r="K471" s="123"/>
      <c r="L471" s="1"/>
      <c r="M471" s="1"/>
      <c r="N471" s="1"/>
      <c r="O471" s="1"/>
      <c r="P471" s="1"/>
      <c r="Q471" s="1"/>
      <c r="R471" s="1"/>
      <c r="S471" s="1"/>
      <c r="T471" s="1"/>
      <c r="U471" s="1"/>
      <c r="V471" s="1"/>
      <c r="W471" s="1"/>
      <c r="X471" s="1"/>
      <c r="Y471" s="1"/>
      <c r="Z471" s="1"/>
      <c r="AA471" s="1"/>
      <c r="AB471" s="1"/>
      <c r="AC471" s="1"/>
      <c r="AD471" s="1"/>
    </row>
    <row r="472" spans="1:30" s="2" customFormat="1" x14ac:dyDescent="0.2">
      <c r="A472" s="121"/>
      <c r="B472" s="121"/>
      <c r="C472" s="121"/>
      <c r="D472" s="122"/>
      <c r="E472" s="122"/>
      <c r="F472" s="122"/>
      <c r="G472" s="122"/>
      <c r="H472" s="123"/>
      <c r="I472" s="189"/>
      <c r="J472" s="189"/>
      <c r="K472" s="123"/>
      <c r="L472" s="1"/>
      <c r="M472" s="1"/>
      <c r="N472" s="1"/>
      <c r="O472" s="1"/>
      <c r="P472" s="1"/>
      <c r="Q472" s="1"/>
      <c r="R472" s="1"/>
      <c r="S472" s="1"/>
      <c r="T472" s="1"/>
      <c r="U472" s="1"/>
      <c r="V472" s="1"/>
      <c r="W472" s="1"/>
      <c r="X472" s="1"/>
      <c r="Y472" s="1"/>
      <c r="Z472" s="1"/>
      <c r="AA472" s="1"/>
      <c r="AB472" s="1"/>
      <c r="AC472" s="1"/>
      <c r="AD472" s="1"/>
    </row>
    <row r="473" spans="1:30" s="2" customFormat="1" x14ac:dyDescent="0.2">
      <c r="A473" s="121"/>
      <c r="B473" s="121"/>
      <c r="C473" s="121"/>
      <c r="D473" s="122"/>
      <c r="E473" s="122"/>
      <c r="F473" s="122"/>
      <c r="G473" s="122"/>
      <c r="H473" s="123"/>
      <c r="I473" s="123"/>
      <c r="J473" s="123"/>
      <c r="K473" s="123"/>
      <c r="L473" s="1"/>
      <c r="M473" s="1"/>
      <c r="N473" s="1"/>
      <c r="O473" s="1"/>
      <c r="P473" s="1"/>
      <c r="Q473" s="1"/>
      <c r="R473" s="1"/>
      <c r="S473" s="1"/>
      <c r="T473" s="1"/>
      <c r="U473" s="1"/>
      <c r="V473" s="1"/>
      <c r="W473" s="1"/>
      <c r="X473" s="1"/>
      <c r="Y473" s="1"/>
      <c r="Z473" s="1"/>
      <c r="AA473" s="1"/>
      <c r="AB473" s="1"/>
      <c r="AC473" s="1"/>
      <c r="AD473" s="1"/>
    </row>
    <row r="474" spans="1:30" s="2" customFormat="1" x14ac:dyDescent="0.2">
      <c r="A474" s="153" t="s">
        <v>148</v>
      </c>
      <c r="B474" s="129"/>
      <c r="C474" s="129"/>
      <c r="D474" s="129"/>
      <c r="E474" s="129"/>
      <c r="F474" s="129"/>
      <c r="G474" s="129"/>
      <c r="H474" s="123"/>
      <c r="I474" s="123"/>
      <c r="J474" s="123"/>
      <c r="K474" s="123"/>
      <c r="L474" s="1"/>
      <c r="M474" s="1"/>
      <c r="N474" s="1"/>
      <c r="O474" s="1"/>
      <c r="P474" s="1"/>
      <c r="Q474" s="1"/>
      <c r="R474" s="1"/>
      <c r="S474" s="1"/>
      <c r="T474" s="1"/>
      <c r="U474" s="1"/>
      <c r="V474" s="1"/>
      <c r="W474" s="1"/>
      <c r="X474" s="1"/>
      <c r="Y474" s="1"/>
      <c r="Z474" s="1"/>
      <c r="AA474" s="1"/>
      <c r="AB474" s="1"/>
      <c r="AC474" s="1"/>
      <c r="AD474" s="1"/>
    </row>
    <row r="475" spans="1:30" s="2" customFormat="1" x14ac:dyDescent="0.2">
      <c r="A475" s="128" t="s">
        <v>180</v>
      </c>
      <c r="B475" s="129"/>
      <c r="C475" s="129"/>
      <c r="D475" s="129"/>
      <c r="E475" s="129"/>
      <c r="F475" s="129"/>
      <c r="G475" s="129"/>
      <c r="H475" s="123"/>
      <c r="I475" s="123"/>
      <c r="J475" s="123"/>
      <c r="K475" s="123"/>
      <c r="L475" s="1"/>
      <c r="M475" s="1"/>
      <c r="N475" s="1"/>
      <c r="O475" s="1"/>
      <c r="P475" s="1"/>
      <c r="Q475" s="1"/>
      <c r="R475" s="1"/>
      <c r="S475" s="1"/>
      <c r="T475" s="1"/>
      <c r="U475" s="1"/>
      <c r="V475" s="1"/>
      <c r="W475" s="1"/>
      <c r="X475" s="1"/>
      <c r="Y475" s="1"/>
      <c r="Z475" s="1"/>
      <c r="AA475" s="1"/>
      <c r="AB475" s="1"/>
      <c r="AC475" s="1"/>
      <c r="AD475" s="1"/>
    </row>
    <row r="476" spans="1:30" s="2" customFormat="1" x14ac:dyDescent="0.2">
      <c r="A476" s="128" t="s">
        <v>192</v>
      </c>
      <c r="B476" s="129"/>
      <c r="C476" s="129"/>
      <c r="D476" s="129"/>
      <c r="E476" s="129"/>
      <c r="F476" s="129"/>
      <c r="G476" s="129"/>
      <c r="H476" s="123"/>
      <c r="I476" s="123"/>
      <c r="J476" s="123"/>
      <c r="K476" s="123"/>
      <c r="L476" s="1"/>
      <c r="M476" s="1"/>
      <c r="N476" s="1"/>
      <c r="O476" s="1"/>
      <c r="P476" s="1"/>
      <c r="Q476" s="1"/>
      <c r="R476" s="1"/>
      <c r="S476" s="1"/>
      <c r="T476" s="1"/>
      <c r="U476" s="1"/>
      <c r="V476" s="1"/>
      <c r="W476" s="1"/>
      <c r="X476" s="1"/>
      <c r="Y476" s="1"/>
      <c r="Z476" s="1"/>
      <c r="AA476" s="1"/>
      <c r="AB476" s="1"/>
      <c r="AC476" s="1"/>
      <c r="AD476" s="1"/>
    </row>
    <row r="477" spans="1:30" s="2" customFormat="1" x14ac:dyDescent="0.2">
      <c r="A477" s="128" t="s">
        <v>195</v>
      </c>
      <c r="B477" s="129"/>
      <c r="C477" s="129"/>
      <c r="D477" s="129"/>
      <c r="E477" s="129"/>
      <c r="F477" s="129"/>
      <c r="G477" s="129"/>
      <c r="H477" s="123"/>
      <c r="I477" s="123"/>
      <c r="J477" s="123"/>
      <c r="K477" s="123"/>
      <c r="L477" s="1"/>
      <c r="M477" s="1"/>
      <c r="N477" s="1"/>
      <c r="O477" s="1"/>
      <c r="P477" s="1"/>
      <c r="Q477" s="1"/>
      <c r="R477" s="1"/>
      <c r="S477" s="1"/>
      <c r="T477" s="1"/>
      <c r="U477" s="1"/>
      <c r="V477" s="1"/>
      <c r="W477" s="1"/>
      <c r="X477" s="1"/>
      <c r="Y477" s="1"/>
      <c r="Z477" s="1"/>
      <c r="AA477" s="1"/>
      <c r="AB477" s="1"/>
      <c r="AC477" s="1"/>
      <c r="AD477" s="1"/>
    </row>
    <row r="478" spans="1:30" s="2" customFormat="1" x14ac:dyDescent="0.2">
      <c r="A478" s="128" t="s">
        <v>46</v>
      </c>
      <c r="B478" s="129"/>
      <c r="C478" s="129"/>
      <c r="D478" s="129"/>
      <c r="E478" s="129"/>
      <c r="F478" s="129"/>
      <c r="G478" s="129"/>
      <c r="H478" s="123"/>
      <c r="I478" s="123"/>
      <c r="J478" s="123"/>
      <c r="K478" s="123"/>
      <c r="L478" s="1"/>
      <c r="M478" s="1"/>
      <c r="N478" s="1"/>
      <c r="O478" s="1"/>
      <c r="P478" s="1"/>
      <c r="Q478" s="1"/>
      <c r="R478" s="1"/>
      <c r="S478" s="1"/>
      <c r="T478" s="1"/>
      <c r="U478" s="1"/>
      <c r="V478" s="1"/>
      <c r="W478" s="1"/>
      <c r="X478" s="1"/>
      <c r="Y478" s="1"/>
      <c r="Z478" s="1"/>
      <c r="AA478" s="1"/>
      <c r="AB478" s="1"/>
      <c r="AC478" s="1"/>
      <c r="AD478" s="1"/>
    </row>
    <row r="479" spans="1:30" s="2" customFormat="1" x14ac:dyDescent="0.2">
      <c r="A479" s="128" t="s">
        <v>153</v>
      </c>
      <c r="B479" s="129"/>
      <c r="C479" s="129"/>
      <c r="D479" s="129"/>
      <c r="E479" s="129"/>
      <c r="F479" s="129"/>
      <c r="G479" s="129"/>
      <c r="H479" s="123"/>
      <c r="I479" s="123"/>
      <c r="J479" s="123"/>
      <c r="K479" s="123"/>
      <c r="L479" s="1"/>
      <c r="M479" s="1"/>
      <c r="N479" s="1"/>
      <c r="O479" s="1"/>
      <c r="P479" s="1"/>
      <c r="Q479" s="1"/>
      <c r="R479" s="1"/>
      <c r="S479" s="1"/>
      <c r="T479" s="1"/>
      <c r="U479" s="1"/>
      <c r="V479" s="1"/>
      <c r="W479" s="1"/>
      <c r="X479" s="1"/>
      <c r="Y479" s="1"/>
      <c r="Z479" s="1"/>
      <c r="AA479" s="1"/>
      <c r="AB479" s="1"/>
      <c r="AC479" s="1"/>
      <c r="AD479" s="1"/>
    </row>
    <row r="480" spans="1:30" s="2" customFormat="1" x14ac:dyDescent="0.2">
      <c r="A480" s="128" t="s">
        <v>150</v>
      </c>
      <c r="B480" s="129"/>
      <c r="C480" s="129"/>
      <c r="D480" s="129"/>
      <c r="E480" s="129"/>
      <c r="F480" s="129"/>
      <c r="G480" s="129"/>
      <c r="H480" s="123"/>
      <c r="I480" s="123"/>
      <c r="J480" s="123"/>
      <c r="K480" s="123"/>
      <c r="L480" s="1"/>
      <c r="M480" s="1"/>
      <c r="N480" s="1"/>
      <c r="O480" s="1"/>
      <c r="P480" s="1"/>
      <c r="Q480" s="1"/>
      <c r="R480" s="1"/>
      <c r="S480" s="1"/>
      <c r="T480" s="1"/>
      <c r="U480" s="1"/>
      <c r="V480" s="1"/>
      <c r="W480" s="1"/>
      <c r="X480" s="1"/>
      <c r="Y480" s="1"/>
      <c r="Z480" s="1"/>
      <c r="AA480" s="1"/>
      <c r="AB480" s="1"/>
      <c r="AC480" s="1"/>
      <c r="AD480" s="1"/>
    </row>
    <row r="481" spans="1:30" s="2" customFormat="1" x14ac:dyDescent="0.2">
      <c r="A481" s="128" t="s">
        <v>151</v>
      </c>
      <c r="B481" s="129"/>
      <c r="C481" s="129"/>
      <c r="D481" s="129"/>
      <c r="E481" s="129"/>
      <c r="F481" s="129"/>
      <c r="G481" s="129"/>
      <c r="H481" s="123"/>
      <c r="I481" s="123"/>
      <c r="J481" s="123"/>
      <c r="K481" s="123"/>
      <c r="L481" s="1"/>
      <c r="M481" s="1"/>
      <c r="N481" s="1"/>
      <c r="O481" s="1"/>
      <c r="P481" s="1"/>
      <c r="Q481" s="1"/>
      <c r="R481" s="1"/>
      <c r="S481" s="1"/>
      <c r="T481" s="1"/>
      <c r="U481" s="1"/>
      <c r="V481" s="1"/>
      <c r="W481" s="1"/>
      <c r="X481" s="1"/>
      <c r="Y481" s="1"/>
      <c r="Z481" s="1"/>
      <c r="AA481" s="1"/>
      <c r="AB481" s="1"/>
      <c r="AC481" s="1"/>
      <c r="AD481" s="1"/>
    </row>
    <row r="482" spans="1:30" s="2" customFormat="1" x14ac:dyDescent="0.2">
      <c r="A482" s="128" t="s">
        <v>152</v>
      </c>
      <c r="B482" s="129"/>
      <c r="C482" s="121"/>
      <c r="D482" s="122"/>
      <c r="E482" s="122"/>
      <c r="F482" s="122"/>
      <c r="G482" s="122"/>
      <c r="H482" s="123"/>
      <c r="I482" s="123"/>
      <c r="J482" s="123"/>
      <c r="K482" s="123"/>
      <c r="L482" s="1"/>
      <c r="M482" s="1"/>
      <c r="N482" s="1"/>
      <c r="O482" s="1"/>
      <c r="P482" s="1"/>
      <c r="Q482" s="1"/>
      <c r="R482" s="1"/>
      <c r="S482" s="1"/>
      <c r="T482" s="1"/>
      <c r="U482" s="1"/>
      <c r="V482" s="1"/>
      <c r="W482" s="1"/>
      <c r="X482" s="1"/>
      <c r="Y482" s="1"/>
      <c r="Z482" s="1"/>
      <c r="AA482" s="1"/>
      <c r="AB482" s="1"/>
      <c r="AC482" s="1"/>
      <c r="AD482" s="1"/>
    </row>
    <row r="483" spans="1:30" s="2" customFormat="1" x14ac:dyDescent="0.2">
      <c r="A483" s="155"/>
      <c r="B483" s="121"/>
      <c r="C483" s="121"/>
      <c r="D483" s="122"/>
      <c r="E483" s="122"/>
      <c r="F483" s="122"/>
      <c r="G483" s="122"/>
      <c r="H483" s="123"/>
      <c r="I483" s="123"/>
      <c r="J483" s="123"/>
      <c r="K483" s="123"/>
      <c r="L483" s="1"/>
      <c r="M483" s="1"/>
      <c r="N483" s="1"/>
      <c r="O483" s="1"/>
      <c r="P483" s="1"/>
      <c r="Q483" s="1"/>
      <c r="R483" s="1"/>
      <c r="S483" s="1"/>
      <c r="T483" s="1"/>
      <c r="U483" s="1"/>
      <c r="V483" s="1"/>
      <c r="W483" s="1"/>
      <c r="X483" s="1"/>
      <c r="Y483" s="1"/>
      <c r="Z483" s="1"/>
      <c r="AA483" s="1"/>
      <c r="AB483" s="1"/>
      <c r="AC483" s="1"/>
      <c r="AD483" s="1"/>
    </row>
    <row r="484" spans="1:30" s="2" customFormat="1" x14ac:dyDescent="0.2">
      <c r="A484" s="121"/>
      <c r="B484" s="121"/>
      <c r="C484" s="121"/>
      <c r="D484" s="122"/>
      <c r="E484" s="122"/>
      <c r="F484" s="122"/>
      <c r="G484" s="122"/>
      <c r="H484" s="123"/>
      <c r="I484" s="123"/>
      <c r="J484" s="123"/>
      <c r="K484" s="123"/>
      <c r="L484" s="1"/>
      <c r="M484" s="1"/>
      <c r="N484" s="1"/>
      <c r="O484" s="1"/>
      <c r="P484" s="1"/>
      <c r="Q484" s="1"/>
      <c r="R484" s="1"/>
      <c r="S484" s="1"/>
      <c r="T484" s="1"/>
      <c r="U484" s="1"/>
      <c r="V484" s="1"/>
      <c r="W484" s="1"/>
      <c r="X484" s="1"/>
      <c r="Y484" s="1"/>
      <c r="Z484" s="1"/>
      <c r="AA484" s="1"/>
      <c r="AB484" s="1"/>
      <c r="AC484" s="1"/>
      <c r="AD484" s="1"/>
    </row>
    <row r="485" spans="1:30" s="2" customFormat="1" x14ac:dyDescent="0.2">
      <c r="A485" s="121"/>
      <c r="B485" s="121"/>
      <c r="C485" s="121"/>
      <c r="D485" s="122"/>
      <c r="E485" s="122"/>
      <c r="F485" s="122"/>
      <c r="G485" s="122"/>
      <c r="H485" s="123"/>
      <c r="I485" s="123"/>
      <c r="J485" s="123"/>
      <c r="K485" s="123"/>
      <c r="L485" s="1"/>
      <c r="M485" s="1"/>
      <c r="N485" s="1"/>
      <c r="O485" s="1"/>
      <c r="P485" s="1"/>
      <c r="Q485" s="1"/>
      <c r="R485" s="1"/>
      <c r="S485" s="1"/>
      <c r="T485" s="1"/>
      <c r="U485" s="1"/>
      <c r="V485" s="1"/>
      <c r="W485" s="1"/>
      <c r="X485" s="1"/>
      <c r="Y485" s="1"/>
      <c r="Z485" s="1"/>
      <c r="AA485" s="1"/>
      <c r="AB485" s="1"/>
      <c r="AC485" s="1"/>
      <c r="AD485" s="1"/>
    </row>
    <row r="486" spans="1:30" s="2" customFormat="1" x14ac:dyDescent="0.2">
      <c r="A486" s="121"/>
      <c r="B486" s="121"/>
      <c r="C486" s="121"/>
      <c r="D486" s="122"/>
      <c r="E486" s="122"/>
      <c r="F486" s="122"/>
      <c r="G486" s="122"/>
      <c r="H486" s="123"/>
      <c r="I486" s="123"/>
      <c r="J486" s="123"/>
      <c r="K486" s="123"/>
      <c r="L486" s="1"/>
      <c r="M486" s="1"/>
      <c r="N486" s="1"/>
      <c r="O486" s="1"/>
      <c r="P486" s="1"/>
      <c r="Q486" s="1"/>
      <c r="R486" s="1"/>
      <c r="S486" s="1"/>
      <c r="T486" s="1"/>
      <c r="U486" s="1"/>
      <c r="V486" s="1"/>
      <c r="W486" s="1"/>
      <c r="X486" s="1"/>
      <c r="Y486" s="1"/>
      <c r="Z486" s="1"/>
      <c r="AA486" s="1"/>
      <c r="AB486" s="1"/>
      <c r="AC486" s="1"/>
      <c r="AD486" s="1"/>
    </row>
    <row r="487" spans="1:30" s="2" customFormat="1" x14ac:dyDescent="0.2">
      <c r="A487" s="176"/>
      <c r="B487" s="176"/>
      <c r="C487" s="176"/>
      <c r="D487" s="176"/>
      <c r="E487" s="176"/>
      <c r="F487" s="176"/>
      <c r="G487" s="176"/>
      <c r="H487" s="176"/>
      <c r="I487" s="176"/>
      <c r="J487" s="176"/>
      <c r="K487" s="176"/>
      <c r="L487" s="1"/>
      <c r="M487" s="1"/>
      <c r="N487" s="1"/>
      <c r="O487" s="1"/>
      <c r="P487" s="1"/>
      <c r="Q487" s="1"/>
      <c r="R487" s="1"/>
      <c r="S487" s="1"/>
      <c r="T487" s="1"/>
      <c r="U487" s="1"/>
      <c r="V487" s="1"/>
      <c r="W487" s="1"/>
      <c r="X487" s="1"/>
      <c r="Y487" s="1"/>
      <c r="Z487" s="1"/>
      <c r="AA487" s="1"/>
      <c r="AB487" s="1"/>
      <c r="AC487" s="1"/>
      <c r="AD487" s="1"/>
    </row>
    <row r="488" spans="1:30" x14ac:dyDescent="0.2">
      <c r="A488" s="177"/>
      <c r="B488" s="177"/>
      <c r="C488" s="177"/>
      <c r="D488" s="177"/>
      <c r="E488" s="177"/>
      <c r="F488" s="177"/>
      <c r="G488" s="177"/>
      <c r="H488" s="177"/>
      <c r="I488" s="177"/>
      <c r="J488" s="177"/>
      <c r="K488" s="177"/>
    </row>
    <row r="489" spans="1:30" x14ac:dyDescent="0.2">
      <c r="A489" s="177"/>
      <c r="B489" s="177"/>
      <c r="C489" s="177"/>
      <c r="D489" s="177"/>
      <c r="E489" s="177"/>
      <c r="F489" s="177"/>
      <c r="G489" s="177"/>
      <c r="H489" s="177"/>
      <c r="I489" s="177"/>
      <c r="J489" s="177"/>
      <c r="K489" s="177"/>
    </row>
  </sheetData>
  <sheetProtection password="CA52" sheet="1" objects="1" scenarios="1" pivotTables="0"/>
  <dataConsolidate/>
  <mergeCells count="27">
    <mergeCell ref="B223:G223"/>
    <mergeCell ref="B368:G368"/>
    <mergeCell ref="P455:R455"/>
    <mergeCell ref="B363:G363"/>
    <mergeCell ref="B358:G358"/>
    <mergeCell ref="B353:G353"/>
    <mergeCell ref="A277:K277"/>
    <mergeCell ref="A311:K311"/>
    <mergeCell ref="B230:G230"/>
    <mergeCell ref="I354:J355"/>
    <mergeCell ref="B348:G348"/>
    <mergeCell ref="P456:R456"/>
    <mergeCell ref="P457:R457"/>
    <mergeCell ref="B432:D432"/>
    <mergeCell ref="B433:D433"/>
    <mergeCell ref="B434:D434"/>
    <mergeCell ref="A9:K11"/>
    <mergeCell ref="B178:I178"/>
    <mergeCell ref="B190:I190"/>
    <mergeCell ref="B31:E31"/>
    <mergeCell ref="B26:E26"/>
    <mergeCell ref="B27:E27"/>
    <mergeCell ref="B28:E28"/>
    <mergeCell ref="B29:E29"/>
    <mergeCell ref="B30:E30"/>
    <mergeCell ref="G62:J62"/>
    <mergeCell ref="A62:A63"/>
  </mergeCells>
  <phoneticPr fontId="5" type="noConversion"/>
  <dataValidations xWindow="636" yWindow="430" count="57">
    <dataValidation type="custom" allowBlank="1" showInputMessage="1" showErrorMessage="1" errorTitle="Incorrect input" error="Not more than 365 days in a year" sqref="F62:G62 B55:G56">
      <formula1>B36+B55&lt;=365</formula1>
    </dataValidation>
    <dataValidation type="custom" allowBlank="1" showInputMessage="1" showErrorMessage="1" errorTitle="Incorrect input" error="Not more than 365 days in a year" sqref="B41:G42 B37:G38 B45:G46 B49:G49 B53:G53">
      <formula1>B37+B44&lt;=365</formula1>
    </dataValidation>
    <dataValidation type="custom" allowBlank="1" showInputMessage="1" showErrorMessage="1" errorTitle="Incorrect input" error="Not more than 365 days in a year" sqref="F58:G58">
      <formula1>F43+F58&lt;=365</formula1>
    </dataValidation>
    <dataValidation type="custom" allowBlank="1" showInputMessage="1" showErrorMessage="1" errorTitle="Incorrect input" error="Not more than 365 days in a year" sqref="B54:G54">
      <formula1>B54+B62&lt;=365</formula1>
    </dataValidation>
    <dataValidation type="custom" allowBlank="1" showInputMessage="1" showErrorMessage="1" errorTitle="Incorrect input" error="Not more than 365 days in a year" sqref="C57:G57">
      <formula1>C39+C57&lt;=365</formula1>
    </dataValidation>
    <dataValidation type="custom" allowBlank="1" showInputMessage="1" showErrorMessage="1" errorTitle="Incorrect input" error="Not more than 365 days in a year" sqref="B50:G50">
      <formula1>B50+B59&lt;=365</formula1>
    </dataValidation>
    <dataValidation allowBlank="1" showErrorMessage="1" sqref="B243:G243 B345:G347 B183 B209:G209 B151:G151 B140:G140 B115:G115 B90:G90 A27:A31 B34 B65:G65"/>
    <dataValidation type="list" allowBlank="1" showInputMessage="1" showErrorMessage="1" sqref="B415 B307">
      <formula1>$M$394:$M$416</formula1>
    </dataValidation>
    <dataValidation type="list" allowBlank="1" showErrorMessage="1" errorTitle="Incorrect input" error="Please select from the following" prompt=" " sqref="B262">
      <formula1>$B$33:$G$33</formula1>
    </dataValidation>
    <dataValidation type="list" allowBlank="1" showInputMessage="1" showErrorMessage="1" sqref="B261">
      <formula1>$C$184:$E$184</formula1>
    </dataValidation>
    <dataValidation allowBlank="1" showInputMessage="1" showErrorMessage="1" promptTitle="Discount rate" prompt="This is used for the discounted cashflow analysis and takes into account the time value of money and the risk of the anticipated future cash flows." sqref="B244:G246"/>
    <dataValidation allowBlank="1" showInputMessage="1" showErrorMessage="1" promptTitle="Installation cost per kW" prompt="This is the total cost divided by the installed power of the machinery scrubber(s) are connected to" sqref="B242:G242"/>
    <dataValidation allowBlank="1" showInputMessage="1" showErrorMessage="1" promptTitle="Additional fuel consumption" prompt="This is calculated automatically and represents the maximum fuel consumption per year. The actual consumption will depend on time of EGCS operation (see relevant assumption). This consumption is calculated with the unit cost of the compliant fuel. " sqref="B235:G236"/>
    <dataValidation allowBlank="1" showInputMessage="1" showErrorMessage="1" promptTitle="EGCS power requirements" prompt="Enter the additional power requirements for operating the EGCS. If the EGCS has other indirect effects to fuel consumption (such as reduction in engine power or increase in SFOC)  these should be entered here in the form of additional power loss. " sqref="B231:G231"/>
    <dataValidation type="list" allowBlank="1" showInputMessage="1" showErrorMessage="1" errorTitle="Incorrect input" error="Select from the list" promptTitle="Machinery EGCS is powered from" prompt="This is required in order to calculate the SFOC and the fuel type of the machinery used to power the EGCS which impacts on fuel cost calculations. " sqref="B232:G232">
      <formula1>$N$74:$N$76</formula1>
    </dataValidation>
    <dataValidation allowBlank="1" showInputMessage="1" showErrorMessage="1" promptTitle="EGCS other fixed oper. costs" prompt="Costs that occur regardless of EGCS time in operation, such as (but not limited to), as applicable:_x000a_a) Scheduled maintenance cost_x000a_b) Time off service (scheduled)_x000a_c) Cost of parts_x000a_d) Other costs as applicable" sqref="B227:G227"/>
    <dataValidation allowBlank="1" showInputMessage="1" showErrorMessage="1" promptTitle="EGCS total var. operational cost" prompt="This is the sum of the 3 variable costs calculated above (consumable, other, powering). This represents the maximum cost per year, the actual cost will depend on time of EGCS operation (see relevant assumption). " sqref="B226:G226"/>
    <dataValidation allowBlank="1" showInputMessage="1" showErrorMessage="1" promptTitle="EGCS cost" prompt="Turn-key cost for all types of machinery EGCS is connected to" sqref="B219:G219"/>
    <dataValidation allowBlank="1" showInputMessage="1" showErrorMessage="1" promptTitle="EGCS consumable cost" prompt="Use this for EGCS which use consumables (such as sodium hydroxide for closed loop scrubbers or lime for dry scrubbers). " sqref="B222:G222"/>
    <dataValidation allowBlank="1" showInputMessage="1" showErrorMessage="1" promptTitle="EGCS consumable rate" prompt="Use this for EGCS which use consumables (such as sodium hydroxide for closed loop scrubbers or lime for dry scrubbers). The value assumes use of fuel of %S consistent with the today's spec scrubbed to 0.1%S equivalent. Leave blank if not applicable. " sqref="B221:G221"/>
    <dataValidation allowBlank="1" showInputMessage="1" showErrorMessage="1" promptTitle="% of MCR using the EGCS" prompt="For example, if there are 4 gensets and the exhaust gas streams of 2 of them are fed through a scrubber, then enter 50%" sqref="B211:G213"/>
    <dataValidation allowBlank="1" showInputMessage="1" showErrorMessage="1" promptTitle="% of boilers using the EGCS" prompt="For example, if there are 2 boilers and the exhaust gas streams of 1 of them is fed through a scrubber, then enter 50%" sqref="B214:G214"/>
    <dataValidation type="list" allowBlank="1" showInputMessage="1" showErrorMessage="1" promptTitle="Year of EGCS installation" prompt="The payback period will start counting from the beggining of this year. Prior to this year, it is assumed that compliance is achieved using fuel switchover" sqref="B210:G210">
      <formula1>$M$394:$M$404</formula1>
    </dataValidation>
    <dataValidation allowBlank="1" showInputMessage="1" showErrorMessage="1" promptTitle="Price differential for 1.00% S" prompt="Enter the price difference (if any) between today's prices entered above and the price of fuel required to achieve the 1.00% limit. If the type of fuel selected above already meets this limit, this will be 0." sqref="G180 E180 I180 C180"/>
    <dataValidation allowBlank="1" showInputMessage="1" showErrorMessage="1" promptTitle="Fuel used for specific %S limits" prompt="Enter the type of fuel used to comply with the corresponding S limit. If the original fuel used is already compliant with this limit, then the same type can be entered here. This is used for labelling purposes. " sqref="C171:F173"/>
    <dataValidation allowBlank="1" showInputMessage="1" showErrorMessage="1" promptTitle="Today's fuel prices" prompt="Enter price of fuel today, for this particular type. This is for fuel compliant with the 3.50% S requirement (actual sulphur content may be less depending on fuel type selected). Refer to the user guide for an example. " sqref="C176:F176"/>
    <dataValidation type="list" allowBlank="1" showInputMessage="1" showErrorMessage="1" promptTitle="Fuel type to plot" prompt="Select fuel type to plot in the following graph, from the types already entered above" sqref="R186">
      <formula1>$M$74:$M$77</formula1>
    </dataValidation>
    <dataValidation type="list" allowBlank="1" showInputMessage="1" showErrorMessage="1" promptTitle="Price scenario to plot" prompt="Select from the predefined scenarios" sqref="R187">
      <formula1>$C$184:$E$184</formula1>
    </dataValidation>
    <dataValidation allowBlank="1" showInputMessage="1" showErrorMessage="1" promptTitle="Price differential increase" prompt="For fuels &lt;=0.50% sulphur content. This is in addition to the annual  fuel increase entered above. " sqref="C186:E187"/>
    <dataValidation type="list" allowBlank="1" showInputMessage="1" showErrorMessage="1" errorTitle="Incorrect input" error="Please select from the list" promptTitle="Global 0.5% S limit" prompt="This will occur either on 1.1.2020 or 1.1.2025 subject to a 2018 review." sqref="B189">
      <formula1>"2020,2025"</formula1>
    </dataValidation>
    <dataValidation allowBlank="1" showInputMessage="1" showErrorMessage="1" promptTitle="Annual fuel price increase" prompt="This is the annual percentage of fuel price increase, compared to the previous year" sqref="C185:E185"/>
    <dataValidation allowBlank="1" showInputMessage="1" showErrorMessage="1" promptTitle="Calorific value correct. factor" prompt="This is used to account for differences in calorific value (and hence fuel consumption) between the fuel types on top and the fuel to comply with each %S limit on the left. Positive means fuel on the left has higher cal.value compared to the fuel on top. " sqref="C192:C194 E192:E194 I192:I194 G192:G194"/>
    <dataValidation allowBlank="1" showInputMessage="1" showErrorMessage="1" promptTitle="EGCS other variable oper. costs" prompt="Costs that are proportional to EGCS time in operation, such as (but not limited to), as applicable:_x000a_a) Costs of other consumables_x000a_b) Cost of sludge disposal_x000a_c) Other costs as applicable_x000a_" sqref="B225:G225"/>
    <dataValidation allowBlank="1" showInputMessage="1" showErrorMessage="1" promptTitle="Maximum consumable cost" prompt="This is calculated automatically based on the consumption rate, price and power connected to the EGCS. This represents the maximum consumable cost per year, the actual cost will depend on time of EGCS operation (see relevant assumption). " sqref="B224:G224"/>
    <dataValidation allowBlank="1" showInputMessage="1" showErrorMessage="1" promptTitle="Fuel type to power the EGCS" prompt="This is calculated automatically based on the machinery type selected above" sqref="B233:G234"/>
    <dataValidation allowBlank="1" showInputMessage="1" showErrorMessage="1" promptTitle="FOC for boilers" prompt="This generally depends on the size (steam generating capacity) of the boiler(s). If more than one boiler is used, the total FOC should be entered here. " sqref="B143:G143"/>
    <dataValidation type="list" allowBlank="1" showInputMessage="1" showErrorMessage="1" errorTitle="Incorrect input" error="Choose from the list" promptTitle="Type of fuel" prompt="This refers to the &quot;heaviest&quot; fuel the boiler is able to operate with. _x000a_In the calculations it will be assumed that this type of fuel is used at a sulphur content in line with statutory requirements" sqref="B142:G142">
      <formula1>$M$74:$M$77</formula1>
    </dataValidation>
    <dataValidation allowBlank="1" showInputMessage="1" showErrorMessage="1" promptTitle="% time for boiler" prompt="This should be the percentage of the time the boiler is used for this particular mode of operation. " sqref="B144:G148"/>
    <dataValidation allowBlank="1" showInputMessage="1" showErrorMessage="1" promptTitle="Boiler equivalent kW" prompt="This is required for further calculations as the EGCS consumable rate is expressed in terms of kg/MWhr. Worked out backwards, assuming an SFC of 250g/kWh" sqref="B141:G141"/>
    <dataValidation type="list" allowBlank="1" showInputMessage="1" showErrorMessage="1" errorTitle="Incorrect input" error="Choose from the list" promptTitle="Type of fuel" prompt="This refers to the &quot;heaviest&quot; fuel the machinery is able to operate with. _x000a_In the calculations it will be assumed that this type of fuel is used at a sulphur content in line with statutory requirements" sqref="B120:G120 B95:G95 B70:G70">
      <formula1>$M$74:$M$77</formula1>
    </dataValidation>
    <dataValidation allowBlank="1" showInputMessage="1" showErrorMessage="1" promptTitle="Total MCR" prompt="Enter total MCR of all machinery of the same type" sqref="B121:G121 B96:G96 B71:G71"/>
    <dataValidation type="list" allowBlank="1" showInputMessage="1" showErrorMessage="1" promptTitle="Number of units used at mode" prompt="Enter the number of units in use during this operational mode" sqref="B122:G122 B125:G125 B128:G128 B131:G131 B109:G109 B97:G97 C84:G84 B100:G100 B103:G103 B106:G106 C72:G72 C75:G75 C78:G78 C81:G81 B134:G134">
      <formula1>$O$74:$O$82</formula1>
    </dataValidation>
    <dataValidation allowBlank="1" showInputMessage="1" showErrorMessage="1" promptTitle="% MCR at mode" prompt="This should be the percentage of the installed power in use for this machinery and type of operation" sqref="B129:G129 B132:G132 B126:G126 B110:G110 B123:G123 B107:G107 B101:G101 B85:G85 B104:G104 B98:G98 B79:G79 B76:G76 B82:G82 B73:G73 B135:G135"/>
    <dataValidation allowBlank="1" showInputMessage="1" showErrorMessage="1" promptTitle="SFOC at MCR value" prompt="Enter the Specific Fuel Oil Consumption (SFOC) at the MCR value entered above. Some typical SFOC curves as a function of engine load and engine type are included within the user guide" sqref="B133:G133 B111:G111 B127:G127 B130:G130 B124:G124 B108:G108 B86:G86 B102:G102 B105:G105 B99:G99 B77:G77 B80:G80 B83:G83 B74:G74 B136:G136"/>
    <dataValidation type="list" allowBlank="1" showInputMessage="1" showErrorMessage="1" promptTitle="Number of installed units" prompt="Enter the number of installed units for this type of machinery" sqref="B117:G117 B67:G67 B92:G92">
      <formula1>$O$75:$O$82</formula1>
    </dataValidation>
    <dataValidation allowBlank="1" showInputMessage="1" showErrorMessage="1" promptTitle="MCR for each unit" prompt="Enter the Maximum Continuous Rating (MCR) for each of the units" sqref="B118:G118 B68:G68 B93:G93"/>
    <dataValidation allowBlank="1" showInputMessage="1" promptTitle="Type of machinery" prompt="Group machinery based on the type of fuel used. For example, all 2-stroke low speed engines under the same group or all diesel generators under the same group." sqref="B116:G116 B66:G66 B91:G91"/>
    <dataValidation allowBlank="1" showInputMessage="1" showErrorMessage="1" promptTitle="Type/class/name of ship/scenario" prompt="This name will be used for labelling purposes throughout the calculation. You can compare up to 6 cases side by side. If you only need to evaluate one case, other columns can be left blank. " sqref="B33:G33"/>
    <dataValidation allowBlank="1" showInputMessage="1" showErrorMessage="1" promptTitle="% total time" prompt="Enter the % of time spent in this mode overall, regardless of the location (inside ECA or otherwise)." sqref="B43:G43 B47:G47 B51:G51 B39:G39 B35:G35"/>
    <dataValidation allowBlank="1" showInputMessage="1" showErrorMessage="1" promptTitle="% time in ECA" prompt="Enter the % of time spent inside an ECA for this mode" sqref="B44:G44 B48:G48 B52:G52 B40:G40 B36:G36"/>
    <dataValidation allowBlank="1" showInputMessage="1" showErrorMessage="1" promptTitle="Operational modes" prompt="The name of the operational mode is for labelling purposes. For example, you can have 3 speed profiles, 1 port and 1 manoeuvring, or 2 loading conditions (laden/ballast), anchorage, loading, offloading. If less than 5 modes are used, enter &quot;not used&quot;." sqref="B27:E31"/>
    <dataValidation allowBlank="1" showInputMessage="1" showErrorMessage="1" promptTitle="Fuel types" prompt="These types will be available for each machinery type below. At least one type is required, others may be left blank if not used. Enter the type that the machinery is able to use, without taking into account compliance with Reg.14 at this stage." sqref="B63:E63"/>
    <dataValidation type="custom" showInputMessage="1" showErrorMessage="1" errorTitle="Incorrect input" error="Time off service cannot be negative" sqref="B57">
      <formula1>"SUM(B35,B39,B43,B47,B51)&gt;=0"</formula1>
    </dataValidation>
    <dataValidation allowBlank="1" showInputMessage="1" showErrorMessage="1" promptTitle="Price differential for 0.50% S" prompt="Enter the price difference (if any) between today's prices entered above and the price of fuel required to achieve the 0.50% limit. If the type of fuel selected above already meets this limit, this will be 0." sqref="E181 G181 I181 C181"/>
    <dataValidation allowBlank="1" showInputMessage="1" showErrorMessage="1" promptTitle="Price differential for 0.10% S" prompt="Enter the price difference (if any) between today's prices entered above and the price of fuel required to achieve the 0.10% limit. If the type of fuel selected above already meets this limit, this will be 0." sqref="C182 E182 G182 I182"/>
    <dataValidation type="list" allowBlank="1" showInputMessage="1" showErrorMessage="1" promptTitle="Number of units used at mode" prompt="Enter the number of units in use during this operational mode" sqref="B84 B81 B78 B75 B72">
      <formula1>$O$75:$O$83</formula1>
    </dataValidation>
    <dataValidation allowBlank="1" showInputMessage="1" showErrorMessage="1" promptTitle="Other loss of revenue" prompt="This can occur due to reduction in cargo carrying capacity due to the installation of EGCS and associated machinery. This can be either due to EGCS occupying cargo space or due to the reductions in load draught posed by the additional weight of the EGCS. " sqref="B228:G228"/>
  </dataValidations>
  <hyperlinks>
    <hyperlink ref="A14" location="mode1" display="1. Operational profile"/>
    <hyperlink ref="A17" location="egcs_year_ship1" display="4. EGCS data"/>
    <hyperlink ref="A18" location="scenario_display" display="5. Summary fuel costs"/>
    <hyperlink ref="A20" location="year_plot" display="6. Investment evaluation"/>
    <hyperlink ref="A21" location="Calculator!B433" display="8. Custom graph generator"/>
    <hyperlink ref="A19" location="year_interrogation" display="6. Summary fuel costs"/>
    <hyperlink ref="A16" location="Calculator!C174" display="3. Cost data and scenarios"/>
    <hyperlink ref="A15" location="fuel_type1" display="2. Machinery particulars"/>
    <hyperlink ref="A158" location="mode1" display="1. Operational profile"/>
    <hyperlink ref="A161" location="egcs_year_ship1" display="4. EGCS data"/>
    <hyperlink ref="A162" location="scenario_display" display="5. Summary fuel costs"/>
    <hyperlink ref="A164" location="year_plot" display="6. Investment evaluation"/>
    <hyperlink ref="A165" location="Calculator!B433" display="8. Custom graph generator"/>
    <hyperlink ref="A163" location="year_interrogation" display="6. Summary fuel costs"/>
    <hyperlink ref="A160" location="Calculator!C174" display="3. Cost data and scenarios"/>
    <hyperlink ref="A159" location="fuel_type1" display="2. Machinery particulars"/>
    <hyperlink ref="A197" location="mode1" display="1. Operational profile"/>
    <hyperlink ref="A200" location="egcs_year_ship1" display="4. EGCS data"/>
    <hyperlink ref="A201" location="scenario_display" display="5. Summary fuel costs"/>
    <hyperlink ref="A203" location="year_plot" display="6. Investment evaluation"/>
    <hyperlink ref="A204" location="Calculator!B433" display="8. Custom graph generator"/>
    <hyperlink ref="A202" location="year_interrogation" display="6. Summary fuel costs"/>
    <hyperlink ref="A199" location="Calculator!C174" display="3. Cost data and scenarios"/>
    <hyperlink ref="A198" location="fuel_type1" display="2. Machinery particulars"/>
    <hyperlink ref="A249" location="mode1" display="1. Operational profile"/>
    <hyperlink ref="A252" location="egcs_year_ship1" display="4. EGCS data"/>
    <hyperlink ref="A253" location="scenario_display" display="5. Summary fuel costs"/>
    <hyperlink ref="A255" location="year_plot" display="6. Investment evaluation"/>
    <hyperlink ref="A256" location="Calculator!B433" display="8. Custom graph generator"/>
    <hyperlink ref="A254" location="year_interrogation" display="6. Summary fuel costs"/>
    <hyperlink ref="A251" location="Calculator!C174" display="3. Cost data and scenarios"/>
    <hyperlink ref="A250" location="fuel_type1" display="2. Machinery particulars"/>
    <hyperlink ref="A265" location="mode1" display="1. Operational profile"/>
    <hyperlink ref="A268" location="egcs_year_ship1" display="4. EGCS data"/>
    <hyperlink ref="A269" location="scenario_display" display="5. Summary fuel costs"/>
    <hyperlink ref="A271" location="year_plot" display="6. Investment evaluation"/>
    <hyperlink ref="A272" location="Calculator!B433" display="8. Custom graph generator"/>
    <hyperlink ref="A270" location="year_interrogation" display="6. Summary fuel costs"/>
    <hyperlink ref="A267" location="Calculator!C174" display="3. Cost data and scenarios"/>
    <hyperlink ref="A266" location="fuel_type1" display="2. Machinery particulars"/>
    <hyperlink ref="A374" location="mode1" display="1. Operational profile"/>
    <hyperlink ref="A377" location="egcs_year_ship1" display="4. EGCS data"/>
    <hyperlink ref="A378" location="scenario_display" display="5. Summary fuel costs"/>
    <hyperlink ref="A380" location="year_plot" display="6. Investment evaluation"/>
    <hyperlink ref="A381" location="Calculator!B433" display="8. Custom graph generator"/>
    <hyperlink ref="A379" location="year_interrogation" display="6. Summary fuel costs"/>
    <hyperlink ref="A376" location="Calculator!C174" display="3. Cost data and scenarios"/>
    <hyperlink ref="A375" location="fuel_type1" display="2. Machinery particulars"/>
    <hyperlink ref="A420" location="mode1" display="1. Operational profile"/>
    <hyperlink ref="A423" location="egcs_year_ship1" display="4. EGCS data"/>
    <hyperlink ref="A424" location="scenario_display" display="5. Summary fuel costs"/>
    <hyperlink ref="A426" location="year_plot" display="6. Investment evaluation"/>
    <hyperlink ref="A427" location="Calculator!B433" display="8. Custom graph generator"/>
    <hyperlink ref="A425" location="year_interrogation" display="6. Summary fuel costs"/>
    <hyperlink ref="A422" location="Calculator!C174" display="3. Cost data and scenarios"/>
    <hyperlink ref="A421" location="fuel_type1" display="2. Machinery particulars"/>
    <hyperlink ref="A475" location="mode1" display="1. Operational profile"/>
    <hyperlink ref="A478" location="egcs_year_ship1" display="4. EGCS data"/>
    <hyperlink ref="A479" location="scenario_display" display="5. Summary fuel costs"/>
    <hyperlink ref="A481" location="year_plot" display="6. Investment evaluation"/>
    <hyperlink ref="A482" location="Calculator!B433" display="8. Custom graph generator"/>
    <hyperlink ref="A480" location="year_interrogation" display="6. Summary fuel costs"/>
    <hyperlink ref="A477" location="Calculator!C174" display="3. Cost data and scenarios"/>
    <hyperlink ref="A476" location="fuel_type1" display="2. Machinery particulars"/>
  </hyperlinks>
  <printOptions horizontalCentered="1"/>
  <pageMargins left="0.74803149606299213" right="0.74803149606299213" top="0.98425196850393704" bottom="0.98425196850393704" header="0.51181102362204722" footer="0.51181102362204722"/>
  <pageSetup paperSize="9" scale="44" fitToHeight="4" orientation="portrait" r:id="rId1"/>
  <headerFooter alignWithMargins="0">
    <oddHeader>&amp;LEEDI Calculator v1.4 - © Lloyd's Register 2011</oddHeader>
    <oddFooter>&amp;LPage &amp;P of &amp;N</oddFooter>
  </headerFooter>
  <rowBreaks count="3" manualBreakCount="3">
    <brk id="166" max="10" man="1"/>
    <brk id="257" max="10" man="1"/>
    <brk id="38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535"/>
  <sheetViews>
    <sheetView zoomScale="70" zoomScaleNormal="70" workbookViewId="0">
      <pane xSplit="3" ySplit="3" topLeftCell="D4" activePane="bottomRight" state="frozen"/>
      <selection pane="topRight" activeCell="D1" sqref="D1"/>
      <selection pane="bottomLeft" activeCell="A4" sqref="A4"/>
      <selection pane="bottomRight" activeCell="F4" sqref="F4"/>
    </sheetView>
  </sheetViews>
  <sheetFormatPr defaultRowHeight="12.75" x14ac:dyDescent="0.2"/>
  <cols>
    <col min="1" max="1" width="19.42578125" style="119" customWidth="1"/>
    <col min="2" max="2" width="19.85546875" style="120" customWidth="1"/>
    <col min="3" max="3" width="25.42578125" style="120" customWidth="1"/>
    <col min="4" max="4" width="12.140625" style="120" customWidth="1"/>
    <col min="5" max="26" width="11.28515625" style="120" customWidth="1"/>
    <col min="27" max="27" width="12.7109375" style="36" customWidth="1"/>
    <col min="28" max="28" width="12.5703125" style="113" customWidth="1"/>
    <col min="29" max="29" width="12.28515625" style="113" customWidth="1"/>
    <col min="30" max="30" width="14.28515625" style="113" customWidth="1"/>
    <col min="31" max="31" width="9.140625" style="36"/>
    <col min="32" max="32" width="10.85546875" style="36" bestFit="1" customWidth="1"/>
    <col min="33" max="16384" width="9.140625" style="36"/>
  </cols>
  <sheetData>
    <row r="1" spans="1:30" s="28" customFormat="1" ht="33" customHeight="1" x14ac:dyDescent="0.55000000000000004">
      <c r="A1" s="23"/>
      <c r="B1" s="24"/>
      <c r="C1" s="25" t="s">
        <v>16</v>
      </c>
      <c r="D1" s="25"/>
      <c r="E1" s="26"/>
      <c r="F1" s="26"/>
      <c r="G1" s="26"/>
      <c r="H1" s="26"/>
      <c r="I1" s="26"/>
      <c r="J1" s="26"/>
      <c r="K1" s="26"/>
      <c r="L1" s="26"/>
      <c r="M1" s="26"/>
      <c r="N1" s="26"/>
      <c r="O1" s="26"/>
      <c r="P1" s="26"/>
      <c r="Q1" s="27"/>
      <c r="R1" s="26"/>
      <c r="S1" s="26"/>
      <c r="T1" s="26"/>
      <c r="U1" s="26"/>
      <c r="V1" s="26"/>
      <c r="W1" s="26"/>
      <c r="X1" s="26"/>
      <c r="Y1" s="26"/>
      <c r="Z1" s="26"/>
      <c r="AB1" s="29"/>
      <c r="AC1" s="29"/>
      <c r="AD1" s="29"/>
    </row>
    <row r="2" spans="1:30" s="31" customFormat="1" ht="12.6" customHeight="1" x14ac:dyDescent="0.2">
      <c r="A2" s="30"/>
      <c r="B2" s="30"/>
      <c r="C2" s="30" t="s">
        <v>61</v>
      </c>
      <c r="D2" s="30">
        <v>2013</v>
      </c>
      <c r="E2" s="30">
        <v>2014</v>
      </c>
      <c r="F2" s="30">
        <v>2015</v>
      </c>
      <c r="G2" s="30">
        <v>2016</v>
      </c>
      <c r="H2" s="30">
        <v>2017</v>
      </c>
      <c r="I2" s="30">
        <v>2018</v>
      </c>
      <c r="J2" s="30">
        <v>2019</v>
      </c>
      <c r="K2" s="30">
        <v>2020</v>
      </c>
      <c r="L2" s="30">
        <v>2021</v>
      </c>
      <c r="M2" s="30">
        <v>2022</v>
      </c>
      <c r="N2" s="30">
        <v>2023</v>
      </c>
      <c r="O2" s="30">
        <v>2024</v>
      </c>
      <c r="P2" s="30">
        <v>2025</v>
      </c>
      <c r="Q2" s="30">
        <v>2026</v>
      </c>
      <c r="R2" s="30">
        <v>2027</v>
      </c>
      <c r="S2" s="30">
        <v>2028</v>
      </c>
      <c r="T2" s="30">
        <v>2029</v>
      </c>
      <c r="U2" s="30">
        <v>2030</v>
      </c>
      <c r="V2" s="30">
        <v>2031</v>
      </c>
      <c r="W2" s="30">
        <v>2032</v>
      </c>
      <c r="X2" s="30">
        <v>2033</v>
      </c>
      <c r="Y2" s="30">
        <v>2034</v>
      </c>
      <c r="Z2" s="30">
        <v>2035</v>
      </c>
      <c r="AB2" s="32"/>
      <c r="AC2" s="32"/>
      <c r="AD2" s="32"/>
    </row>
    <row r="3" spans="1:30" s="31" customFormat="1" ht="12.6" customHeight="1" x14ac:dyDescent="0.2">
      <c r="A3" s="30"/>
      <c r="B3" s="30"/>
      <c r="C3" s="30" t="s">
        <v>62</v>
      </c>
      <c r="D3" s="30">
        <v>0</v>
      </c>
      <c r="E3" s="30">
        <v>1</v>
      </c>
      <c r="F3" s="30">
        <v>2</v>
      </c>
      <c r="G3" s="30">
        <v>3</v>
      </c>
      <c r="H3" s="30">
        <v>4</v>
      </c>
      <c r="I3" s="30">
        <v>5</v>
      </c>
      <c r="J3" s="30">
        <v>6</v>
      </c>
      <c r="K3" s="30">
        <v>7</v>
      </c>
      <c r="L3" s="30">
        <v>8</v>
      </c>
      <c r="M3" s="30">
        <v>9</v>
      </c>
      <c r="N3" s="30">
        <v>10</v>
      </c>
      <c r="O3" s="30">
        <v>11</v>
      </c>
      <c r="P3" s="30">
        <v>12</v>
      </c>
      <c r="Q3" s="30">
        <v>13</v>
      </c>
      <c r="R3" s="30">
        <v>14</v>
      </c>
      <c r="S3" s="30">
        <v>15</v>
      </c>
      <c r="T3" s="30">
        <v>16</v>
      </c>
      <c r="U3" s="30">
        <v>17</v>
      </c>
      <c r="V3" s="30">
        <v>18</v>
      </c>
      <c r="W3" s="30">
        <v>19</v>
      </c>
      <c r="X3" s="30">
        <v>20</v>
      </c>
      <c r="Y3" s="30">
        <v>21</v>
      </c>
      <c r="Z3" s="30">
        <v>22</v>
      </c>
      <c r="AB3" s="32"/>
      <c r="AC3" s="32"/>
      <c r="AD3" s="32"/>
    </row>
    <row r="4" spans="1:30" x14ac:dyDescent="0.2">
      <c r="A4" s="250" t="str">
        <f>fuel_type1&amp; " Low Scenario"</f>
        <v xml:space="preserve"> Low Scenario</v>
      </c>
      <c r="B4" s="255" t="s">
        <v>26</v>
      </c>
      <c r="C4" s="34" t="s">
        <v>160</v>
      </c>
      <c r="D4" s="35">
        <f>fuel_type1_today</f>
        <v>0</v>
      </c>
      <c r="E4" s="35">
        <f>D4*(1+increase_lo)</f>
        <v>0</v>
      </c>
      <c r="F4" s="35">
        <f t="shared" ref="F4:Z4" si="0">E4*(1+increase_lo)</f>
        <v>0</v>
      </c>
      <c r="G4" s="35">
        <f t="shared" si="0"/>
        <v>0</v>
      </c>
      <c r="H4" s="35">
        <f t="shared" si="0"/>
        <v>0</v>
      </c>
      <c r="I4" s="35">
        <f t="shared" si="0"/>
        <v>0</v>
      </c>
      <c r="J4" s="35">
        <f t="shared" si="0"/>
        <v>0</v>
      </c>
      <c r="K4" s="35">
        <f t="shared" si="0"/>
        <v>0</v>
      </c>
      <c r="L4" s="35">
        <f t="shared" si="0"/>
        <v>0</v>
      </c>
      <c r="M4" s="35">
        <f t="shared" si="0"/>
        <v>0</v>
      </c>
      <c r="N4" s="35">
        <f t="shared" si="0"/>
        <v>0</v>
      </c>
      <c r="O4" s="35">
        <f t="shared" si="0"/>
        <v>0</v>
      </c>
      <c r="P4" s="35">
        <f t="shared" si="0"/>
        <v>0</v>
      </c>
      <c r="Q4" s="35">
        <f t="shared" si="0"/>
        <v>0</v>
      </c>
      <c r="R4" s="35">
        <f t="shared" si="0"/>
        <v>0</v>
      </c>
      <c r="S4" s="35">
        <f t="shared" si="0"/>
        <v>0</v>
      </c>
      <c r="T4" s="35">
        <f t="shared" si="0"/>
        <v>0</v>
      </c>
      <c r="U4" s="35">
        <f t="shared" si="0"/>
        <v>0</v>
      </c>
      <c r="V4" s="35">
        <f t="shared" si="0"/>
        <v>0</v>
      </c>
      <c r="W4" s="35">
        <f t="shared" si="0"/>
        <v>0</v>
      </c>
      <c r="X4" s="35">
        <f t="shared" si="0"/>
        <v>0</v>
      </c>
      <c r="Y4" s="35">
        <f t="shared" si="0"/>
        <v>0</v>
      </c>
      <c r="Z4" s="35">
        <f t="shared" si="0"/>
        <v>0</v>
      </c>
      <c r="AB4" s="37"/>
      <c r="AC4" s="37"/>
      <c r="AD4" s="37"/>
    </row>
    <row r="5" spans="1:30" x14ac:dyDescent="0.2">
      <c r="A5" s="250"/>
      <c r="B5" s="255"/>
      <c r="C5" s="38" t="s">
        <v>161</v>
      </c>
      <c r="D5" s="35">
        <f>fuel_type1_today+fuel_type1_1.0</f>
        <v>0</v>
      </c>
      <c r="E5" s="35">
        <f>D5*(1+increase_lo)</f>
        <v>0</v>
      </c>
      <c r="F5" s="35">
        <f t="shared" ref="F5:Z5" si="1">E5*(1+increase_lo)</f>
        <v>0</v>
      </c>
      <c r="G5" s="35">
        <f t="shared" si="1"/>
        <v>0</v>
      </c>
      <c r="H5" s="35">
        <f t="shared" si="1"/>
        <v>0</v>
      </c>
      <c r="I5" s="35">
        <f t="shared" si="1"/>
        <v>0</v>
      </c>
      <c r="J5" s="35">
        <f t="shared" si="1"/>
        <v>0</v>
      </c>
      <c r="K5" s="35">
        <f t="shared" si="1"/>
        <v>0</v>
      </c>
      <c r="L5" s="35">
        <f t="shared" si="1"/>
        <v>0</v>
      </c>
      <c r="M5" s="35">
        <f t="shared" si="1"/>
        <v>0</v>
      </c>
      <c r="N5" s="35">
        <f t="shared" si="1"/>
        <v>0</v>
      </c>
      <c r="O5" s="35">
        <f t="shared" si="1"/>
        <v>0</v>
      </c>
      <c r="P5" s="35">
        <f t="shared" si="1"/>
        <v>0</v>
      </c>
      <c r="Q5" s="35">
        <f t="shared" si="1"/>
        <v>0</v>
      </c>
      <c r="R5" s="35">
        <f t="shared" si="1"/>
        <v>0</v>
      </c>
      <c r="S5" s="35">
        <f t="shared" si="1"/>
        <v>0</v>
      </c>
      <c r="T5" s="35">
        <f t="shared" si="1"/>
        <v>0</v>
      </c>
      <c r="U5" s="35">
        <f t="shared" si="1"/>
        <v>0</v>
      </c>
      <c r="V5" s="35">
        <f t="shared" si="1"/>
        <v>0</v>
      </c>
      <c r="W5" s="35">
        <f t="shared" si="1"/>
        <v>0</v>
      </c>
      <c r="X5" s="35">
        <f t="shared" si="1"/>
        <v>0</v>
      </c>
      <c r="Y5" s="35">
        <f t="shared" si="1"/>
        <v>0</v>
      </c>
      <c r="Z5" s="35">
        <f t="shared" si="1"/>
        <v>0</v>
      </c>
      <c r="AB5" s="37"/>
      <c r="AC5" s="37"/>
      <c r="AD5" s="37"/>
    </row>
    <row r="6" spans="1:30" x14ac:dyDescent="0.2">
      <c r="A6" s="250"/>
      <c r="B6" s="255"/>
      <c r="C6" s="38" t="s">
        <v>162</v>
      </c>
      <c r="D6" s="35">
        <f>fuel_type1_today+fuel_type1_0.5</f>
        <v>0</v>
      </c>
      <c r="E6" s="35">
        <f>D6*(1+increase_lo)</f>
        <v>0</v>
      </c>
      <c r="F6" s="35">
        <f>E6*(1+increase_lo)*(1+diff_2015_lo)</f>
        <v>0</v>
      </c>
      <c r="G6" s="35">
        <f t="shared" ref="G6:J7" si="2">F6*(1+increase_lo)</f>
        <v>0</v>
      </c>
      <c r="H6" s="35">
        <f t="shared" si="2"/>
        <v>0</v>
      </c>
      <c r="I6" s="35">
        <f t="shared" si="2"/>
        <v>0</v>
      </c>
      <c r="J6" s="35">
        <f t="shared" si="2"/>
        <v>0</v>
      </c>
      <c r="K6" s="35">
        <f>J6*(1+increase_lo)*IF(K$2=global0.5,(1+diff_2020_lo),1)</f>
        <v>0</v>
      </c>
      <c r="L6" s="35">
        <f t="shared" ref="L6:Z6" si="3">K6*(1+increase_lo)</f>
        <v>0</v>
      </c>
      <c r="M6" s="35">
        <f t="shared" si="3"/>
        <v>0</v>
      </c>
      <c r="N6" s="35">
        <f t="shared" si="3"/>
        <v>0</v>
      </c>
      <c r="O6" s="35">
        <f t="shared" si="3"/>
        <v>0</v>
      </c>
      <c r="P6" s="35">
        <f>O6*(1+increase_lo)*IF(P$2=global0.5,(1+diff_2020_lo),1)</f>
        <v>0</v>
      </c>
      <c r="Q6" s="35">
        <f t="shared" si="3"/>
        <v>0</v>
      </c>
      <c r="R6" s="35">
        <f t="shared" si="3"/>
        <v>0</v>
      </c>
      <c r="S6" s="35">
        <f t="shared" si="3"/>
        <v>0</v>
      </c>
      <c r="T6" s="35">
        <f t="shared" si="3"/>
        <v>0</v>
      </c>
      <c r="U6" s="35">
        <f t="shared" si="3"/>
        <v>0</v>
      </c>
      <c r="V6" s="35">
        <f t="shared" si="3"/>
        <v>0</v>
      </c>
      <c r="W6" s="35">
        <f t="shared" si="3"/>
        <v>0</v>
      </c>
      <c r="X6" s="35">
        <f t="shared" si="3"/>
        <v>0</v>
      </c>
      <c r="Y6" s="35">
        <f t="shared" si="3"/>
        <v>0</v>
      </c>
      <c r="Z6" s="35">
        <f t="shared" si="3"/>
        <v>0</v>
      </c>
      <c r="AB6" s="37"/>
      <c r="AC6" s="37"/>
      <c r="AD6" s="37"/>
    </row>
    <row r="7" spans="1:30" x14ac:dyDescent="0.2">
      <c r="A7" s="250"/>
      <c r="B7" s="255"/>
      <c r="C7" s="38" t="s">
        <v>163</v>
      </c>
      <c r="D7" s="35">
        <f>fuel_type1_today+fuel_type1_0.1</f>
        <v>0</v>
      </c>
      <c r="E7" s="35">
        <f>D7*(1+increase_lo)</f>
        <v>0</v>
      </c>
      <c r="F7" s="35">
        <f>E7*(1+increase_lo)*(1+diff_2015_lo)</f>
        <v>0</v>
      </c>
      <c r="G7" s="35">
        <f t="shared" si="2"/>
        <v>0</v>
      </c>
      <c r="H7" s="35">
        <f t="shared" si="2"/>
        <v>0</v>
      </c>
      <c r="I7" s="35">
        <f t="shared" si="2"/>
        <v>0</v>
      </c>
      <c r="J7" s="35">
        <f t="shared" si="2"/>
        <v>0</v>
      </c>
      <c r="K7" s="35">
        <f>J7*(1+increase_lo)*IF(K$2=global0.5,(1+diff_2020_lo),1)</f>
        <v>0</v>
      </c>
      <c r="L7" s="35">
        <f t="shared" ref="L7:Z7" si="4">K7*(1+increase_lo)</f>
        <v>0</v>
      </c>
      <c r="M7" s="35">
        <f t="shared" si="4"/>
        <v>0</v>
      </c>
      <c r="N7" s="35">
        <f t="shared" si="4"/>
        <v>0</v>
      </c>
      <c r="O7" s="35">
        <f t="shared" si="4"/>
        <v>0</v>
      </c>
      <c r="P7" s="35">
        <f>O7*(1+increase_lo)*IF(P$2=global0.5,(1+diff_2020_lo),1)</f>
        <v>0</v>
      </c>
      <c r="Q7" s="35">
        <f t="shared" si="4"/>
        <v>0</v>
      </c>
      <c r="R7" s="35">
        <f t="shared" si="4"/>
        <v>0</v>
      </c>
      <c r="S7" s="35">
        <f t="shared" si="4"/>
        <v>0</v>
      </c>
      <c r="T7" s="35">
        <f t="shared" si="4"/>
        <v>0</v>
      </c>
      <c r="U7" s="35">
        <f t="shared" si="4"/>
        <v>0</v>
      </c>
      <c r="V7" s="35">
        <f t="shared" si="4"/>
        <v>0</v>
      </c>
      <c r="W7" s="35">
        <f t="shared" si="4"/>
        <v>0</v>
      </c>
      <c r="X7" s="35">
        <f t="shared" si="4"/>
        <v>0</v>
      </c>
      <c r="Y7" s="35">
        <f t="shared" si="4"/>
        <v>0</v>
      </c>
      <c r="Z7" s="35">
        <f t="shared" si="4"/>
        <v>0</v>
      </c>
      <c r="AB7" s="37"/>
      <c r="AC7" s="37"/>
      <c r="AD7" s="37"/>
    </row>
    <row r="8" spans="1:30" ht="12.75" customHeight="1" x14ac:dyDescent="0.2">
      <c r="A8" s="250" t="str">
        <f>fuel_type1&amp; " Medium Scenario"</f>
        <v xml:space="preserve"> Medium Scenario</v>
      </c>
      <c r="B8" s="255"/>
      <c r="C8" s="34" t="s">
        <v>160</v>
      </c>
      <c r="D8" s="39">
        <f>fuel_type1_today</f>
        <v>0</v>
      </c>
      <c r="E8" s="39">
        <f>D8*(1+increase_med)</f>
        <v>0</v>
      </c>
      <c r="F8" s="39">
        <f t="shared" ref="F8:Z8" si="5">E8*(1+increase_med)</f>
        <v>0</v>
      </c>
      <c r="G8" s="39">
        <f t="shared" si="5"/>
        <v>0</v>
      </c>
      <c r="H8" s="39">
        <f t="shared" si="5"/>
        <v>0</v>
      </c>
      <c r="I8" s="39">
        <f t="shared" si="5"/>
        <v>0</v>
      </c>
      <c r="J8" s="39">
        <f t="shared" si="5"/>
        <v>0</v>
      </c>
      <c r="K8" s="39">
        <f t="shared" si="5"/>
        <v>0</v>
      </c>
      <c r="L8" s="39">
        <f t="shared" si="5"/>
        <v>0</v>
      </c>
      <c r="M8" s="39">
        <f t="shared" si="5"/>
        <v>0</v>
      </c>
      <c r="N8" s="39">
        <f t="shared" si="5"/>
        <v>0</v>
      </c>
      <c r="O8" s="39">
        <f t="shared" si="5"/>
        <v>0</v>
      </c>
      <c r="P8" s="39">
        <f t="shared" si="5"/>
        <v>0</v>
      </c>
      <c r="Q8" s="39">
        <f t="shared" si="5"/>
        <v>0</v>
      </c>
      <c r="R8" s="39">
        <f t="shared" si="5"/>
        <v>0</v>
      </c>
      <c r="S8" s="39">
        <f t="shared" si="5"/>
        <v>0</v>
      </c>
      <c r="T8" s="39">
        <f t="shared" si="5"/>
        <v>0</v>
      </c>
      <c r="U8" s="39">
        <f t="shared" si="5"/>
        <v>0</v>
      </c>
      <c r="V8" s="39">
        <f t="shared" si="5"/>
        <v>0</v>
      </c>
      <c r="W8" s="39">
        <f t="shared" si="5"/>
        <v>0</v>
      </c>
      <c r="X8" s="39">
        <f t="shared" si="5"/>
        <v>0</v>
      </c>
      <c r="Y8" s="39">
        <f t="shared" si="5"/>
        <v>0</v>
      </c>
      <c r="Z8" s="39">
        <f t="shared" si="5"/>
        <v>0</v>
      </c>
      <c r="AB8" s="37"/>
      <c r="AC8" s="37"/>
      <c r="AD8" s="37"/>
    </row>
    <row r="9" spans="1:30" x14ac:dyDescent="0.2">
      <c r="A9" s="250"/>
      <c r="B9" s="255"/>
      <c r="C9" s="38" t="s">
        <v>161</v>
      </c>
      <c r="D9" s="39">
        <f>fuel_type1_today+fuel_type1_1.0</f>
        <v>0</v>
      </c>
      <c r="E9" s="39">
        <f>D9*(1+increase_med)</f>
        <v>0</v>
      </c>
      <c r="F9" s="39">
        <f t="shared" ref="F9:Z9" si="6">E9*(1+increase_med)</f>
        <v>0</v>
      </c>
      <c r="G9" s="39">
        <f t="shared" si="6"/>
        <v>0</v>
      </c>
      <c r="H9" s="39">
        <f t="shared" si="6"/>
        <v>0</v>
      </c>
      <c r="I9" s="39">
        <f t="shared" si="6"/>
        <v>0</v>
      </c>
      <c r="J9" s="39">
        <f t="shared" si="6"/>
        <v>0</v>
      </c>
      <c r="K9" s="39">
        <f t="shared" si="6"/>
        <v>0</v>
      </c>
      <c r="L9" s="39">
        <f t="shared" si="6"/>
        <v>0</v>
      </c>
      <c r="M9" s="39">
        <f t="shared" si="6"/>
        <v>0</v>
      </c>
      <c r="N9" s="39">
        <f t="shared" si="6"/>
        <v>0</v>
      </c>
      <c r="O9" s="39">
        <f t="shared" si="6"/>
        <v>0</v>
      </c>
      <c r="P9" s="39">
        <f t="shared" si="6"/>
        <v>0</v>
      </c>
      <c r="Q9" s="39">
        <f t="shared" si="6"/>
        <v>0</v>
      </c>
      <c r="R9" s="39">
        <f t="shared" si="6"/>
        <v>0</v>
      </c>
      <c r="S9" s="39">
        <f t="shared" si="6"/>
        <v>0</v>
      </c>
      <c r="T9" s="39">
        <f t="shared" si="6"/>
        <v>0</v>
      </c>
      <c r="U9" s="39">
        <f t="shared" si="6"/>
        <v>0</v>
      </c>
      <c r="V9" s="39">
        <f t="shared" si="6"/>
        <v>0</v>
      </c>
      <c r="W9" s="39">
        <f t="shared" si="6"/>
        <v>0</v>
      </c>
      <c r="X9" s="39">
        <f t="shared" si="6"/>
        <v>0</v>
      </c>
      <c r="Y9" s="39">
        <f t="shared" si="6"/>
        <v>0</v>
      </c>
      <c r="Z9" s="39">
        <f t="shared" si="6"/>
        <v>0</v>
      </c>
      <c r="AB9" s="37"/>
      <c r="AC9" s="37"/>
      <c r="AD9" s="37"/>
    </row>
    <row r="10" spans="1:30" x14ac:dyDescent="0.2">
      <c r="A10" s="250"/>
      <c r="B10" s="255"/>
      <c r="C10" s="38" t="s">
        <v>162</v>
      </c>
      <c r="D10" s="39">
        <f>fuel_type1_today+fuel_type1_0.5</f>
        <v>0</v>
      </c>
      <c r="E10" s="39">
        <f>D10*(1+increase_med)</f>
        <v>0</v>
      </c>
      <c r="F10" s="39">
        <f>E10*(1+increase_med)*(1+diff_2015_med)</f>
        <v>0</v>
      </c>
      <c r="G10" s="39">
        <f t="shared" ref="G10:J11" si="7">F10*(1+increase_med)</f>
        <v>0</v>
      </c>
      <c r="H10" s="39">
        <f t="shared" si="7"/>
        <v>0</v>
      </c>
      <c r="I10" s="39">
        <f t="shared" si="7"/>
        <v>0</v>
      </c>
      <c r="J10" s="39">
        <f t="shared" si="7"/>
        <v>0</v>
      </c>
      <c r="K10" s="39">
        <f>J10*(1+increase_med)*IF(K$2=global0.5,(1+diff_2020_med),1)</f>
        <v>0</v>
      </c>
      <c r="L10" s="39">
        <f t="shared" ref="L10:Z10" si="8">K10*(1+increase_med)</f>
        <v>0</v>
      </c>
      <c r="M10" s="39">
        <f t="shared" si="8"/>
        <v>0</v>
      </c>
      <c r="N10" s="39">
        <f t="shared" si="8"/>
        <v>0</v>
      </c>
      <c r="O10" s="39">
        <f t="shared" si="8"/>
        <v>0</v>
      </c>
      <c r="P10" s="39">
        <f>O10*(1+increase_med)*IF(P$2=global0.5,(1+diff_2020_med),1)</f>
        <v>0</v>
      </c>
      <c r="Q10" s="39">
        <f t="shared" si="8"/>
        <v>0</v>
      </c>
      <c r="R10" s="39">
        <f t="shared" si="8"/>
        <v>0</v>
      </c>
      <c r="S10" s="39">
        <f t="shared" si="8"/>
        <v>0</v>
      </c>
      <c r="T10" s="39">
        <f t="shared" si="8"/>
        <v>0</v>
      </c>
      <c r="U10" s="39">
        <f t="shared" si="8"/>
        <v>0</v>
      </c>
      <c r="V10" s="39">
        <f t="shared" si="8"/>
        <v>0</v>
      </c>
      <c r="W10" s="39">
        <f t="shared" si="8"/>
        <v>0</v>
      </c>
      <c r="X10" s="39">
        <f t="shared" si="8"/>
        <v>0</v>
      </c>
      <c r="Y10" s="39">
        <f t="shared" si="8"/>
        <v>0</v>
      </c>
      <c r="Z10" s="39">
        <f t="shared" si="8"/>
        <v>0</v>
      </c>
      <c r="AB10" s="37"/>
      <c r="AC10" s="37"/>
      <c r="AD10" s="37"/>
    </row>
    <row r="11" spans="1:30" x14ac:dyDescent="0.2">
      <c r="A11" s="250"/>
      <c r="B11" s="255"/>
      <c r="C11" s="38" t="s">
        <v>163</v>
      </c>
      <c r="D11" s="39">
        <f>fuel_type1_today+fuel_type1_0.1</f>
        <v>0</v>
      </c>
      <c r="E11" s="39">
        <f>D11*(1+increase_med)</f>
        <v>0</v>
      </c>
      <c r="F11" s="39">
        <f>E11*(1+increase_med)*(1+diff_2015_med)</f>
        <v>0</v>
      </c>
      <c r="G11" s="39">
        <f t="shared" si="7"/>
        <v>0</v>
      </c>
      <c r="H11" s="39">
        <f t="shared" si="7"/>
        <v>0</v>
      </c>
      <c r="I11" s="39">
        <f t="shared" si="7"/>
        <v>0</v>
      </c>
      <c r="J11" s="39">
        <f t="shared" si="7"/>
        <v>0</v>
      </c>
      <c r="K11" s="39">
        <f>J11*(1+increase_med)*IF(K$2=global0.5,(1+diff_2020_med),1)</f>
        <v>0</v>
      </c>
      <c r="L11" s="39">
        <f t="shared" ref="L11:Z11" si="9">K11*(1+increase_med)</f>
        <v>0</v>
      </c>
      <c r="M11" s="39">
        <f t="shared" si="9"/>
        <v>0</v>
      </c>
      <c r="N11" s="39">
        <f t="shared" si="9"/>
        <v>0</v>
      </c>
      <c r="O11" s="39">
        <f t="shared" si="9"/>
        <v>0</v>
      </c>
      <c r="P11" s="39">
        <f>O11*(1+increase_med)*IF(P$2=global0.5,(1+diff_2020_med),1)</f>
        <v>0</v>
      </c>
      <c r="Q11" s="39">
        <f t="shared" si="9"/>
        <v>0</v>
      </c>
      <c r="R11" s="39">
        <f t="shared" si="9"/>
        <v>0</v>
      </c>
      <c r="S11" s="39">
        <f t="shared" si="9"/>
        <v>0</v>
      </c>
      <c r="T11" s="39">
        <f t="shared" si="9"/>
        <v>0</v>
      </c>
      <c r="U11" s="39">
        <f t="shared" si="9"/>
        <v>0</v>
      </c>
      <c r="V11" s="39">
        <f t="shared" si="9"/>
        <v>0</v>
      </c>
      <c r="W11" s="39">
        <f t="shared" si="9"/>
        <v>0</v>
      </c>
      <c r="X11" s="39">
        <f t="shared" si="9"/>
        <v>0</v>
      </c>
      <c r="Y11" s="39">
        <f t="shared" si="9"/>
        <v>0</v>
      </c>
      <c r="Z11" s="39">
        <f t="shared" si="9"/>
        <v>0</v>
      </c>
      <c r="AB11" s="37"/>
      <c r="AC11" s="37"/>
      <c r="AD11" s="37"/>
    </row>
    <row r="12" spans="1:30" ht="12.75" customHeight="1" x14ac:dyDescent="0.2">
      <c r="A12" s="250" t="str">
        <f>fuel_type1&amp; " High Scenario"</f>
        <v xml:space="preserve"> High Scenario</v>
      </c>
      <c r="B12" s="255"/>
      <c r="C12" s="34" t="s">
        <v>160</v>
      </c>
      <c r="D12" s="40">
        <f>fuel_type1_today</f>
        <v>0</v>
      </c>
      <c r="E12" s="40">
        <f>D12*(1+increase_hi)</f>
        <v>0</v>
      </c>
      <c r="F12" s="40">
        <f t="shared" ref="F12:Z12" si="10">E12*(1+increase_hi)</f>
        <v>0</v>
      </c>
      <c r="G12" s="40">
        <f t="shared" si="10"/>
        <v>0</v>
      </c>
      <c r="H12" s="40">
        <f t="shared" si="10"/>
        <v>0</v>
      </c>
      <c r="I12" s="40">
        <f t="shared" si="10"/>
        <v>0</v>
      </c>
      <c r="J12" s="40">
        <f t="shared" si="10"/>
        <v>0</v>
      </c>
      <c r="K12" s="40">
        <f t="shared" si="10"/>
        <v>0</v>
      </c>
      <c r="L12" s="40">
        <f t="shared" si="10"/>
        <v>0</v>
      </c>
      <c r="M12" s="40">
        <f t="shared" si="10"/>
        <v>0</v>
      </c>
      <c r="N12" s="40">
        <f t="shared" si="10"/>
        <v>0</v>
      </c>
      <c r="O12" s="40">
        <f t="shared" si="10"/>
        <v>0</v>
      </c>
      <c r="P12" s="40">
        <f t="shared" si="10"/>
        <v>0</v>
      </c>
      <c r="Q12" s="40">
        <f t="shared" si="10"/>
        <v>0</v>
      </c>
      <c r="R12" s="40">
        <f t="shared" si="10"/>
        <v>0</v>
      </c>
      <c r="S12" s="40">
        <f t="shared" si="10"/>
        <v>0</v>
      </c>
      <c r="T12" s="40">
        <f t="shared" si="10"/>
        <v>0</v>
      </c>
      <c r="U12" s="40">
        <f t="shared" si="10"/>
        <v>0</v>
      </c>
      <c r="V12" s="40">
        <f t="shared" si="10"/>
        <v>0</v>
      </c>
      <c r="W12" s="40">
        <f t="shared" si="10"/>
        <v>0</v>
      </c>
      <c r="X12" s="40">
        <f t="shared" si="10"/>
        <v>0</v>
      </c>
      <c r="Y12" s="40">
        <f t="shared" si="10"/>
        <v>0</v>
      </c>
      <c r="Z12" s="40">
        <f t="shared" si="10"/>
        <v>0</v>
      </c>
      <c r="AB12" s="37"/>
      <c r="AC12" s="37"/>
      <c r="AD12" s="37"/>
    </row>
    <row r="13" spans="1:30" x14ac:dyDescent="0.2">
      <c r="A13" s="250"/>
      <c r="B13" s="255"/>
      <c r="C13" s="38" t="s">
        <v>161</v>
      </c>
      <c r="D13" s="40">
        <f>fuel_type1_today+fuel_type1_1.0</f>
        <v>0</v>
      </c>
      <c r="E13" s="40">
        <f>D13*(1+increase_hi)</f>
        <v>0</v>
      </c>
      <c r="F13" s="40">
        <f t="shared" ref="F13:Z13" si="11">E13*(1+increase_hi)</f>
        <v>0</v>
      </c>
      <c r="G13" s="40">
        <f t="shared" si="11"/>
        <v>0</v>
      </c>
      <c r="H13" s="40">
        <f t="shared" si="11"/>
        <v>0</v>
      </c>
      <c r="I13" s="40">
        <f t="shared" si="11"/>
        <v>0</v>
      </c>
      <c r="J13" s="40">
        <f t="shared" si="11"/>
        <v>0</v>
      </c>
      <c r="K13" s="40">
        <f t="shared" si="11"/>
        <v>0</v>
      </c>
      <c r="L13" s="40">
        <f t="shared" si="11"/>
        <v>0</v>
      </c>
      <c r="M13" s="40">
        <f t="shared" si="11"/>
        <v>0</v>
      </c>
      <c r="N13" s="40">
        <f t="shared" si="11"/>
        <v>0</v>
      </c>
      <c r="O13" s="40">
        <f t="shared" si="11"/>
        <v>0</v>
      </c>
      <c r="P13" s="40">
        <f t="shared" si="11"/>
        <v>0</v>
      </c>
      <c r="Q13" s="40">
        <f t="shared" si="11"/>
        <v>0</v>
      </c>
      <c r="R13" s="40">
        <f t="shared" si="11"/>
        <v>0</v>
      </c>
      <c r="S13" s="40">
        <f t="shared" si="11"/>
        <v>0</v>
      </c>
      <c r="T13" s="40">
        <f t="shared" si="11"/>
        <v>0</v>
      </c>
      <c r="U13" s="40">
        <f t="shared" si="11"/>
        <v>0</v>
      </c>
      <c r="V13" s="40">
        <f t="shared" si="11"/>
        <v>0</v>
      </c>
      <c r="W13" s="40">
        <f t="shared" si="11"/>
        <v>0</v>
      </c>
      <c r="X13" s="40">
        <f t="shared" si="11"/>
        <v>0</v>
      </c>
      <c r="Y13" s="40">
        <f t="shared" si="11"/>
        <v>0</v>
      </c>
      <c r="Z13" s="40">
        <f t="shared" si="11"/>
        <v>0</v>
      </c>
      <c r="AB13" s="37"/>
      <c r="AC13" s="37"/>
      <c r="AD13" s="37"/>
    </row>
    <row r="14" spans="1:30" x14ac:dyDescent="0.2">
      <c r="A14" s="250"/>
      <c r="B14" s="255"/>
      <c r="C14" s="38" t="s">
        <v>162</v>
      </c>
      <c r="D14" s="40">
        <f>fuel_type1_today+fuel_type1_0.5</f>
        <v>0</v>
      </c>
      <c r="E14" s="40">
        <f>D14*(1+increase_hi)</f>
        <v>0</v>
      </c>
      <c r="F14" s="40">
        <f>E14*(1+increase_hi)*(1+diff_2015_hi)</f>
        <v>0</v>
      </c>
      <c r="G14" s="40">
        <f t="shared" ref="G14:J15" si="12">F14*(1+increase_hi)</f>
        <v>0</v>
      </c>
      <c r="H14" s="40">
        <f t="shared" si="12"/>
        <v>0</v>
      </c>
      <c r="I14" s="40">
        <f t="shared" si="12"/>
        <v>0</v>
      </c>
      <c r="J14" s="40">
        <f t="shared" si="12"/>
        <v>0</v>
      </c>
      <c r="K14" s="40">
        <f>J14*(1+increase_hi)*IF(K$2=global0.5,(1+diff_2020_hi),1)</f>
        <v>0</v>
      </c>
      <c r="L14" s="40">
        <f t="shared" ref="L14:Z14" si="13">K14*(1+increase_hi)</f>
        <v>0</v>
      </c>
      <c r="M14" s="40">
        <f t="shared" si="13"/>
        <v>0</v>
      </c>
      <c r="N14" s="40">
        <f t="shared" si="13"/>
        <v>0</v>
      </c>
      <c r="O14" s="40">
        <f t="shared" si="13"/>
        <v>0</v>
      </c>
      <c r="P14" s="40">
        <f>O14*(1+increase_hi)*IF(P$2=global0.5,(1+diff_2020_hi),1)</f>
        <v>0</v>
      </c>
      <c r="Q14" s="40">
        <f t="shared" si="13"/>
        <v>0</v>
      </c>
      <c r="R14" s="40">
        <f t="shared" si="13"/>
        <v>0</v>
      </c>
      <c r="S14" s="40">
        <f t="shared" si="13"/>
        <v>0</v>
      </c>
      <c r="T14" s="40">
        <f t="shared" si="13"/>
        <v>0</v>
      </c>
      <c r="U14" s="40">
        <f t="shared" si="13"/>
        <v>0</v>
      </c>
      <c r="V14" s="40">
        <f t="shared" si="13"/>
        <v>0</v>
      </c>
      <c r="W14" s="40">
        <f t="shared" si="13"/>
        <v>0</v>
      </c>
      <c r="X14" s="40">
        <f t="shared" si="13"/>
        <v>0</v>
      </c>
      <c r="Y14" s="40">
        <f t="shared" si="13"/>
        <v>0</v>
      </c>
      <c r="Z14" s="40">
        <f t="shared" si="13"/>
        <v>0</v>
      </c>
      <c r="AB14" s="37"/>
      <c r="AC14" s="37"/>
      <c r="AD14" s="37"/>
    </row>
    <row r="15" spans="1:30" x14ac:dyDescent="0.2">
      <c r="A15" s="250"/>
      <c r="B15" s="255"/>
      <c r="C15" s="38" t="s">
        <v>163</v>
      </c>
      <c r="D15" s="40">
        <f>fuel_type1_today+fuel_type1_0.1</f>
        <v>0</v>
      </c>
      <c r="E15" s="40">
        <f>D15*(1+increase_hi)</f>
        <v>0</v>
      </c>
      <c r="F15" s="40">
        <f>E15*(1+increase_hi)*(1+diff_2015_hi)</f>
        <v>0</v>
      </c>
      <c r="G15" s="40">
        <f t="shared" si="12"/>
        <v>0</v>
      </c>
      <c r="H15" s="40">
        <f t="shared" si="12"/>
        <v>0</v>
      </c>
      <c r="I15" s="40">
        <f t="shared" si="12"/>
        <v>0</v>
      </c>
      <c r="J15" s="40">
        <f t="shared" si="12"/>
        <v>0</v>
      </c>
      <c r="K15" s="40">
        <f>J15*(1+increase_hi)*IF(K$2=global0.5,(1+diff_2020_hi),1)</f>
        <v>0</v>
      </c>
      <c r="L15" s="40">
        <f t="shared" ref="L15:Z15" si="14">K15*(1+increase_hi)</f>
        <v>0</v>
      </c>
      <c r="M15" s="40">
        <f t="shared" si="14"/>
        <v>0</v>
      </c>
      <c r="N15" s="40">
        <f t="shared" si="14"/>
        <v>0</v>
      </c>
      <c r="O15" s="40">
        <f t="shared" si="14"/>
        <v>0</v>
      </c>
      <c r="P15" s="40">
        <f>O15*(1+increase_hi)*IF(P$2=global0.5,(1+diff_2020_hi),1)</f>
        <v>0</v>
      </c>
      <c r="Q15" s="40">
        <f t="shared" si="14"/>
        <v>0</v>
      </c>
      <c r="R15" s="40">
        <f t="shared" si="14"/>
        <v>0</v>
      </c>
      <c r="S15" s="40">
        <f t="shared" si="14"/>
        <v>0</v>
      </c>
      <c r="T15" s="40">
        <f t="shared" si="14"/>
        <v>0</v>
      </c>
      <c r="U15" s="40">
        <f t="shared" si="14"/>
        <v>0</v>
      </c>
      <c r="V15" s="40">
        <f t="shared" si="14"/>
        <v>0</v>
      </c>
      <c r="W15" s="40">
        <f t="shared" si="14"/>
        <v>0</v>
      </c>
      <c r="X15" s="40">
        <f t="shared" si="14"/>
        <v>0</v>
      </c>
      <c r="Y15" s="40">
        <f t="shared" si="14"/>
        <v>0</v>
      </c>
      <c r="Z15" s="40">
        <f t="shared" si="14"/>
        <v>0</v>
      </c>
      <c r="AB15" s="37"/>
      <c r="AC15" s="37"/>
      <c r="AD15" s="37"/>
    </row>
    <row r="16" spans="1:30" ht="12.75" customHeight="1" x14ac:dyDescent="0.2">
      <c r="A16" s="256" t="str">
        <f>fuel_type2&amp; " Low Scenario"</f>
        <v xml:space="preserve"> Low Scenario</v>
      </c>
      <c r="B16" s="263" t="s">
        <v>26</v>
      </c>
      <c r="C16" s="41" t="s">
        <v>160</v>
      </c>
      <c r="D16" s="35">
        <f>fuel_type2_today</f>
        <v>0</v>
      </c>
      <c r="E16" s="35">
        <f>D16*(1+increase_lo)</f>
        <v>0</v>
      </c>
      <c r="F16" s="35">
        <f t="shared" ref="F16:Z16" si="15">E16*(1+increase_lo)</f>
        <v>0</v>
      </c>
      <c r="G16" s="35">
        <f t="shared" si="15"/>
        <v>0</v>
      </c>
      <c r="H16" s="35">
        <f t="shared" si="15"/>
        <v>0</v>
      </c>
      <c r="I16" s="35">
        <f t="shared" si="15"/>
        <v>0</v>
      </c>
      <c r="J16" s="35">
        <f t="shared" si="15"/>
        <v>0</v>
      </c>
      <c r="K16" s="35">
        <f t="shared" si="15"/>
        <v>0</v>
      </c>
      <c r="L16" s="35">
        <f t="shared" si="15"/>
        <v>0</v>
      </c>
      <c r="M16" s="35">
        <f t="shared" si="15"/>
        <v>0</v>
      </c>
      <c r="N16" s="35">
        <f t="shared" si="15"/>
        <v>0</v>
      </c>
      <c r="O16" s="35">
        <f t="shared" si="15"/>
        <v>0</v>
      </c>
      <c r="P16" s="35">
        <f t="shared" si="15"/>
        <v>0</v>
      </c>
      <c r="Q16" s="35">
        <f t="shared" si="15"/>
        <v>0</v>
      </c>
      <c r="R16" s="35">
        <f t="shared" si="15"/>
        <v>0</v>
      </c>
      <c r="S16" s="35">
        <f t="shared" si="15"/>
        <v>0</v>
      </c>
      <c r="T16" s="35">
        <f t="shared" si="15"/>
        <v>0</v>
      </c>
      <c r="U16" s="35">
        <f t="shared" si="15"/>
        <v>0</v>
      </c>
      <c r="V16" s="35">
        <f t="shared" si="15"/>
        <v>0</v>
      </c>
      <c r="W16" s="35">
        <f t="shared" si="15"/>
        <v>0</v>
      </c>
      <c r="X16" s="35">
        <f t="shared" si="15"/>
        <v>0</v>
      </c>
      <c r="Y16" s="35">
        <f t="shared" si="15"/>
        <v>0</v>
      </c>
      <c r="Z16" s="35">
        <f t="shared" si="15"/>
        <v>0</v>
      </c>
      <c r="AB16" s="37"/>
      <c r="AC16" s="37"/>
      <c r="AD16" s="37"/>
    </row>
    <row r="17" spans="1:30" x14ac:dyDescent="0.2">
      <c r="A17" s="257"/>
      <c r="B17" s="263"/>
      <c r="C17" s="41" t="s">
        <v>161</v>
      </c>
      <c r="D17" s="35">
        <f>fuel_type2_today+fuel_type2_1.0</f>
        <v>0</v>
      </c>
      <c r="E17" s="35">
        <f>D17*(1+increase_lo)</f>
        <v>0</v>
      </c>
      <c r="F17" s="35">
        <f t="shared" ref="F17:Z17" si="16">E17*(1+increase_lo)</f>
        <v>0</v>
      </c>
      <c r="G17" s="35">
        <f t="shared" si="16"/>
        <v>0</v>
      </c>
      <c r="H17" s="35">
        <f t="shared" si="16"/>
        <v>0</v>
      </c>
      <c r="I17" s="35">
        <f t="shared" si="16"/>
        <v>0</v>
      </c>
      <c r="J17" s="35">
        <f t="shared" si="16"/>
        <v>0</v>
      </c>
      <c r="K17" s="35">
        <f t="shared" si="16"/>
        <v>0</v>
      </c>
      <c r="L17" s="35">
        <f t="shared" si="16"/>
        <v>0</v>
      </c>
      <c r="M17" s="35">
        <f t="shared" si="16"/>
        <v>0</v>
      </c>
      <c r="N17" s="35">
        <f t="shared" si="16"/>
        <v>0</v>
      </c>
      <c r="O17" s="35">
        <f t="shared" si="16"/>
        <v>0</v>
      </c>
      <c r="P17" s="35">
        <f t="shared" si="16"/>
        <v>0</v>
      </c>
      <c r="Q17" s="35">
        <f t="shared" si="16"/>
        <v>0</v>
      </c>
      <c r="R17" s="35">
        <f t="shared" si="16"/>
        <v>0</v>
      </c>
      <c r="S17" s="35">
        <f t="shared" si="16"/>
        <v>0</v>
      </c>
      <c r="T17" s="35">
        <f t="shared" si="16"/>
        <v>0</v>
      </c>
      <c r="U17" s="35">
        <f t="shared" si="16"/>
        <v>0</v>
      </c>
      <c r="V17" s="35">
        <f t="shared" si="16"/>
        <v>0</v>
      </c>
      <c r="W17" s="35">
        <f t="shared" si="16"/>
        <v>0</v>
      </c>
      <c r="X17" s="35">
        <f t="shared" si="16"/>
        <v>0</v>
      </c>
      <c r="Y17" s="35">
        <f t="shared" si="16"/>
        <v>0</v>
      </c>
      <c r="Z17" s="35">
        <f t="shared" si="16"/>
        <v>0</v>
      </c>
      <c r="AB17" s="37"/>
      <c r="AC17" s="37"/>
      <c r="AD17" s="37"/>
    </row>
    <row r="18" spans="1:30" x14ac:dyDescent="0.2">
      <c r="A18" s="257"/>
      <c r="B18" s="263"/>
      <c r="C18" s="41" t="s">
        <v>162</v>
      </c>
      <c r="D18" s="35">
        <f>fuel_type2_today+fuel_type2_0.5</f>
        <v>0</v>
      </c>
      <c r="E18" s="35">
        <f>D18*(1+increase_lo)</f>
        <v>0</v>
      </c>
      <c r="F18" s="35">
        <f>E18*(1+increase_lo)*(1+diff_2015_lo)</f>
        <v>0</v>
      </c>
      <c r="G18" s="35">
        <f t="shared" ref="G18:J19" si="17">F18*(1+increase_lo)</f>
        <v>0</v>
      </c>
      <c r="H18" s="35">
        <f t="shared" si="17"/>
        <v>0</v>
      </c>
      <c r="I18" s="35">
        <f t="shared" si="17"/>
        <v>0</v>
      </c>
      <c r="J18" s="35">
        <f t="shared" si="17"/>
        <v>0</v>
      </c>
      <c r="K18" s="35">
        <f>J18*(1+increase_lo)*IF(K$2=global0.5,(1+diff_2020_lo),1)</f>
        <v>0</v>
      </c>
      <c r="L18" s="35">
        <f t="shared" ref="L18:Z18" si="18">K18*(1+increase_lo)</f>
        <v>0</v>
      </c>
      <c r="M18" s="35">
        <f t="shared" si="18"/>
        <v>0</v>
      </c>
      <c r="N18" s="35">
        <f t="shared" si="18"/>
        <v>0</v>
      </c>
      <c r="O18" s="35">
        <f t="shared" si="18"/>
        <v>0</v>
      </c>
      <c r="P18" s="35">
        <f>O18*(1+increase_lo)*IF(P$2=global0.5,(1+diff_2020_lo),1)</f>
        <v>0</v>
      </c>
      <c r="Q18" s="35">
        <f t="shared" si="18"/>
        <v>0</v>
      </c>
      <c r="R18" s="35">
        <f t="shared" si="18"/>
        <v>0</v>
      </c>
      <c r="S18" s="35">
        <f t="shared" si="18"/>
        <v>0</v>
      </c>
      <c r="T18" s="35">
        <f t="shared" si="18"/>
        <v>0</v>
      </c>
      <c r="U18" s="35">
        <f t="shared" si="18"/>
        <v>0</v>
      </c>
      <c r="V18" s="35">
        <f t="shared" si="18"/>
        <v>0</v>
      </c>
      <c r="W18" s="35">
        <f t="shared" si="18"/>
        <v>0</v>
      </c>
      <c r="X18" s="35">
        <f t="shared" si="18"/>
        <v>0</v>
      </c>
      <c r="Y18" s="35">
        <f t="shared" si="18"/>
        <v>0</v>
      </c>
      <c r="Z18" s="35">
        <f t="shared" si="18"/>
        <v>0</v>
      </c>
      <c r="AB18" s="37"/>
      <c r="AC18" s="37"/>
      <c r="AD18" s="37"/>
    </row>
    <row r="19" spans="1:30" x14ac:dyDescent="0.2">
      <c r="A19" s="258"/>
      <c r="B19" s="263"/>
      <c r="C19" s="41" t="s">
        <v>163</v>
      </c>
      <c r="D19" s="35">
        <f>fuel_type2_today+fuel_type2_0.1</f>
        <v>0</v>
      </c>
      <c r="E19" s="35">
        <f>D19*(1+increase_lo)</f>
        <v>0</v>
      </c>
      <c r="F19" s="35">
        <f>E19*(1+increase_lo)*(1+diff_2015_lo)</f>
        <v>0</v>
      </c>
      <c r="G19" s="35">
        <f t="shared" si="17"/>
        <v>0</v>
      </c>
      <c r="H19" s="35">
        <f t="shared" si="17"/>
        <v>0</v>
      </c>
      <c r="I19" s="35">
        <f t="shared" si="17"/>
        <v>0</v>
      </c>
      <c r="J19" s="35">
        <f t="shared" si="17"/>
        <v>0</v>
      </c>
      <c r="K19" s="35">
        <f>J19*(1+increase_lo)*IF(K$2=global0.5,(1+diff_2020_lo),1)</f>
        <v>0</v>
      </c>
      <c r="L19" s="35">
        <f t="shared" ref="L19:Z19" si="19">K19*(1+increase_lo)</f>
        <v>0</v>
      </c>
      <c r="M19" s="35">
        <f t="shared" si="19"/>
        <v>0</v>
      </c>
      <c r="N19" s="35">
        <f t="shared" si="19"/>
        <v>0</v>
      </c>
      <c r="O19" s="35">
        <f t="shared" si="19"/>
        <v>0</v>
      </c>
      <c r="P19" s="35">
        <f>O19*(1+increase_lo)*IF(P$2=global0.5,(1+diff_2020_lo),1)</f>
        <v>0</v>
      </c>
      <c r="Q19" s="35">
        <f t="shared" si="19"/>
        <v>0</v>
      </c>
      <c r="R19" s="35">
        <f t="shared" si="19"/>
        <v>0</v>
      </c>
      <c r="S19" s="35">
        <f t="shared" si="19"/>
        <v>0</v>
      </c>
      <c r="T19" s="35">
        <f t="shared" si="19"/>
        <v>0</v>
      </c>
      <c r="U19" s="35">
        <f t="shared" si="19"/>
        <v>0</v>
      </c>
      <c r="V19" s="35">
        <f t="shared" si="19"/>
        <v>0</v>
      </c>
      <c r="W19" s="35">
        <f t="shared" si="19"/>
        <v>0</v>
      </c>
      <c r="X19" s="35">
        <f t="shared" si="19"/>
        <v>0</v>
      </c>
      <c r="Y19" s="35">
        <f t="shared" si="19"/>
        <v>0</v>
      </c>
      <c r="Z19" s="35">
        <f t="shared" si="19"/>
        <v>0</v>
      </c>
      <c r="AB19" s="37"/>
      <c r="AC19" s="37"/>
      <c r="AD19" s="37"/>
    </row>
    <row r="20" spans="1:30" ht="12.75" customHeight="1" x14ac:dyDescent="0.2">
      <c r="A20" s="256" t="str">
        <f>fuel_type2&amp; " Medium Scenario"</f>
        <v xml:space="preserve"> Medium Scenario</v>
      </c>
      <c r="B20" s="263"/>
      <c r="C20" s="41" t="s">
        <v>160</v>
      </c>
      <c r="D20" s="39">
        <f>fuel_type2_today</f>
        <v>0</v>
      </c>
      <c r="E20" s="39">
        <f>D20*(1+increase_med)</f>
        <v>0</v>
      </c>
      <c r="F20" s="39">
        <f t="shared" ref="F20:Z20" si="20">E20*(1+increase_med)</f>
        <v>0</v>
      </c>
      <c r="G20" s="39">
        <f t="shared" si="20"/>
        <v>0</v>
      </c>
      <c r="H20" s="39">
        <f t="shared" si="20"/>
        <v>0</v>
      </c>
      <c r="I20" s="39">
        <f t="shared" si="20"/>
        <v>0</v>
      </c>
      <c r="J20" s="39">
        <f t="shared" si="20"/>
        <v>0</v>
      </c>
      <c r="K20" s="39">
        <f t="shared" si="20"/>
        <v>0</v>
      </c>
      <c r="L20" s="39">
        <f t="shared" si="20"/>
        <v>0</v>
      </c>
      <c r="M20" s="39">
        <f t="shared" si="20"/>
        <v>0</v>
      </c>
      <c r="N20" s="39">
        <f t="shared" si="20"/>
        <v>0</v>
      </c>
      <c r="O20" s="39">
        <f t="shared" si="20"/>
        <v>0</v>
      </c>
      <c r="P20" s="39">
        <f t="shared" si="20"/>
        <v>0</v>
      </c>
      <c r="Q20" s="39">
        <f t="shared" si="20"/>
        <v>0</v>
      </c>
      <c r="R20" s="39">
        <f t="shared" si="20"/>
        <v>0</v>
      </c>
      <c r="S20" s="39">
        <f t="shared" si="20"/>
        <v>0</v>
      </c>
      <c r="T20" s="39">
        <f t="shared" si="20"/>
        <v>0</v>
      </c>
      <c r="U20" s="39">
        <f t="shared" si="20"/>
        <v>0</v>
      </c>
      <c r="V20" s="39">
        <f t="shared" si="20"/>
        <v>0</v>
      </c>
      <c r="W20" s="39">
        <f t="shared" si="20"/>
        <v>0</v>
      </c>
      <c r="X20" s="39">
        <f t="shared" si="20"/>
        <v>0</v>
      </c>
      <c r="Y20" s="39">
        <f t="shared" si="20"/>
        <v>0</v>
      </c>
      <c r="Z20" s="39">
        <f t="shared" si="20"/>
        <v>0</v>
      </c>
      <c r="AB20" s="37"/>
      <c r="AC20" s="37"/>
      <c r="AD20" s="37"/>
    </row>
    <row r="21" spans="1:30" x14ac:dyDescent="0.2">
      <c r="A21" s="257"/>
      <c r="B21" s="263"/>
      <c r="C21" s="41" t="s">
        <v>161</v>
      </c>
      <c r="D21" s="39">
        <f>fuel_type2_today+fuel_type2_1.0</f>
        <v>0</v>
      </c>
      <c r="E21" s="39">
        <f>D21*(1+increase_med)</f>
        <v>0</v>
      </c>
      <c r="F21" s="39">
        <f t="shared" ref="F21:Z21" si="21">E21*(1+increase_med)</f>
        <v>0</v>
      </c>
      <c r="G21" s="39">
        <f t="shared" si="21"/>
        <v>0</v>
      </c>
      <c r="H21" s="39">
        <f t="shared" si="21"/>
        <v>0</v>
      </c>
      <c r="I21" s="39">
        <f t="shared" si="21"/>
        <v>0</v>
      </c>
      <c r="J21" s="39">
        <f t="shared" si="21"/>
        <v>0</v>
      </c>
      <c r="K21" s="39">
        <f t="shared" si="21"/>
        <v>0</v>
      </c>
      <c r="L21" s="39">
        <f t="shared" si="21"/>
        <v>0</v>
      </c>
      <c r="M21" s="39">
        <f t="shared" si="21"/>
        <v>0</v>
      </c>
      <c r="N21" s="39">
        <f t="shared" si="21"/>
        <v>0</v>
      </c>
      <c r="O21" s="39">
        <f t="shared" si="21"/>
        <v>0</v>
      </c>
      <c r="P21" s="39">
        <f t="shared" si="21"/>
        <v>0</v>
      </c>
      <c r="Q21" s="39">
        <f t="shared" si="21"/>
        <v>0</v>
      </c>
      <c r="R21" s="39">
        <f t="shared" si="21"/>
        <v>0</v>
      </c>
      <c r="S21" s="39">
        <f t="shared" si="21"/>
        <v>0</v>
      </c>
      <c r="T21" s="39">
        <f t="shared" si="21"/>
        <v>0</v>
      </c>
      <c r="U21" s="39">
        <f t="shared" si="21"/>
        <v>0</v>
      </c>
      <c r="V21" s="39">
        <f t="shared" si="21"/>
        <v>0</v>
      </c>
      <c r="W21" s="39">
        <f t="shared" si="21"/>
        <v>0</v>
      </c>
      <c r="X21" s="39">
        <f t="shared" si="21"/>
        <v>0</v>
      </c>
      <c r="Y21" s="39">
        <f t="shared" si="21"/>
        <v>0</v>
      </c>
      <c r="Z21" s="39">
        <f t="shared" si="21"/>
        <v>0</v>
      </c>
      <c r="AB21" s="37"/>
      <c r="AC21" s="37"/>
      <c r="AD21" s="37"/>
    </row>
    <row r="22" spans="1:30" x14ac:dyDescent="0.2">
      <c r="A22" s="257"/>
      <c r="B22" s="263"/>
      <c r="C22" s="41" t="s">
        <v>162</v>
      </c>
      <c r="D22" s="39">
        <f>fuel_type2_today+fuel_type2_0.5</f>
        <v>0</v>
      </c>
      <c r="E22" s="39">
        <f>D22*(1+increase_med)</f>
        <v>0</v>
      </c>
      <c r="F22" s="39">
        <f>E22*(1+increase_med)*(1+diff_2015_med)</f>
        <v>0</v>
      </c>
      <c r="G22" s="39">
        <f t="shared" ref="G22:J23" si="22">F22*(1+increase_med)</f>
        <v>0</v>
      </c>
      <c r="H22" s="39">
        <f t="shared" si="22"/>
        <v>0</v>
      </c>
      <c r="I22" s="39">
        <f t="shared" si="22"/>
        <v>0</v>
      </c>
      <c r="J22" s="39">
        <f t="shared" si="22"/>
        <v>0</v>
      </c>
      <c r="K22" s="39">
        <f>J22*(1+increase_med)*IF(K$2=global0.5,(1+diff_2020_med),1)</f>
        <v>0</v>
      </c>
      <c r="L22" s="39">
        <f t="shared" ref="L22:Z22" si="23">K22*(1+increase_med)</f>
        <v>0</v>
      </c>
      <c r="M22" s="39">
        <f t="shared" si="23"/>
        <v>0</v>
      </c>
      <c r="N22" s="39">
        <f t="shared" si="23"/>
        <v>0</v>
      </c>
      <c r="O22" s="39">
        <f t="shared" si="23"/>
        <v>0</v>
      </c>
      <c r="P22" s="39">
        <f>O22*(1+increase_med)*IF(P$2=global0.5,(1+diff_2020_med),1)</f>
        <v>0</v>
      </c>
      <c r="Q22" s="39">
        <f t="shared" si="23"/>
        <v>0</v>
      </c>
      <c r="R22" s="39">
        <f t="shared" si="23"/>
        <v>0</v>
      </c>
      <c r="S22" s="39">
        <f t="shared" si="23"/>
        <v>0</v>
      </c>
      <c r="T22" s="39">
        <f t="shared" si="23"/>
        <v>0</v>
      </c>
      <c r="U22" s="39">
        <f t="shared" si="23"/>
        <v>0</v>
      </c>
      <c r="V22" s="39">
        <f t="shared" si="23"/>
        <v>0</v>
      </c>
      <c r="W22" s="39">
        <f t="shared" si="23"/>
        <v>0</v>
      </c>
      <c r="X22" s="39">
        <f t="shared" si="23"/>
        <v>0</v>
      </c>
      <c r="Y22" s="39">
        <f t="shared" si="23"/>
        <v>0</v>
      </c>
      <c r="Z22" s="39">
        <f t="shared" si="23"/>
        <v>0</v>
      </c>
      <c r="AB22" s="37"/>
      <c r="AC22" s="37"/>
      <c r="AD22" s="37"/>
    </row>
    <row r="23" spans="1:30" x14ac:dyDescent="0.2">
      <c r="A23" s="258"/>
      <c r="B23" s="263"/>
      <c r="C23" s="41" t="s">
        <v>163</v>
      </c>
      <c r="D23" s="39">
        <f>fuel_type2_today+fuel_type2_0.1</f>
        <v>0</v>
      </c>
      <c r="E23" s="39">
        <f>D23*(1+increase_med)</f>
        <v>0</v>
      </c>
      <c r="F23" s="39">
        <f>E23*(1+increase_med)*(1+diff_2015_med)</f>
        <v>0</v>
      </c>
      <c r="G23" s="39">
        <f t="shared" si="22"/>
        <v>0</v>
      </c>
      <c r="H23" s="39">
        <f t="shared" si="22"/>
        <v>0</v>
      </c>
      <c r="I23" s="39">
        <f t="shared" si="22"/>
        <v>0</v>
      </c>
      <c r="J23" s="39">
        <f t="shared" si="22"/>
        <v>0</v>
      </c>
      <c r="K23" s="39">
        <f>J23*(1+increase_med)*IF(K$2=global0.5,(1+diff_2020_med),1)</f>
        <v>0</v>
      </c>
      <c r="L23" s="39">
        <f t="shared" ref="L23:Z23" si="24">K23*(1+increase_med)</f>
        <v>0</v>
      </c>
      <c r="M23" s="39">
        <f t="shared" si="24"/>
        <v>0</v>
      </c>
      <c r="N23" s="39">
        <f t="shared" si="24"/>
        <v>0</v>
      </c>
      <c r="O23" s="39">
        <f t="shared" si="24"/>
        <v>0</v>
      </c>
      <c r="P23" s="39">
        <f>O23*(1+increase_med)*IF(P$2=global0.5,(1+diff_2020_med),1)</f>
        <v>0</v>
      </c>
      <c r="Q23" s="39">
        <f t="shared" si="24"/>
        <v>0</v>
      </c>
      <c r="R23" s="39">
        <f t="shared" si="24"/>
        <v>0</v>
      </c>
      <c r="S23" s="39">
        <f t="shared" si="24"/>
        <v>0</v>
      </c>
      <c r="T23" s="39">
        <f t="shared" si="24"/>
        <v>0</v>
      </c>
      <c r="U23" s="39">
        <f t="shared" si="24"/>
        <v>0</v>
      </c>
      <c r="V23" s="39">
        <f t="shared" si="24"/>
        <v>0</v>
      </c>
      <c r="W23" s="39">
        <f t="shared" si="24"/>
        <v>0</v>
      </c>
      <c r="X23" s="39">
        <f t="shared" si="24"/>
        <v>0</v>
      </c>
      <c r="Y23" s="39">
        <f t="shared" si="24"/>
        <v>0</v>
      </c>
      <c r="Z23" s="39">
        <f t="shared" si="24"/>
        <v>0</v>
      </c>
      <c r="AB23" s="37"/>
      <c r="AC23" s="37"/>
      <c r="AD23" s="37"/>
    </row>
    <row r="24" spans="1:30" ht="12.75" customHeight="1" x14ac:dyDescent="0.2">
      <c r="A24" s="256" t="str">
        <f>fuel_type2&amp; " High Scenario"</f>
        <v xml:space="preserve"> High Scenario</v>
      </c>
      <c r="B24" s="263"/>
      <c r="C24" s="41" t="s">
        <v>160</v>
      </c>
      <c r="D24" s="40">
        <f>fuel_type2_today</f>
        <v>0</v>
      </c>
      <c r="E24" s="40">
        <f>D24*(1+increase_hi)</f>
        <v>0</v>
      </c>
      <c r="F24" s="40">
        <f t="shared" ref="F24:Z24" si="25">E24*(1+increase_hi)</f>
        <v>0</v>
      </c>
      <c r="G24" s="40">
        <f t="shared" si="25"/>
        <v>0</v>
      </c>
      <c r="H24" s="40">
        <f t="shared" si="25"/>
        <v>0</v>
      </c>
      <c r="I24" s="40">
        <f t="shared" si="25"/>
        <v>0</v>
      </c>
      <c r="J24" s="40">
        <f t="shared" si="25"/>
        <v>0</v>
      </c>
      <c r="K24" s="40">
        <f t="shared" si="25"/>
        <v>0</v>
      </c>
      <c r="L24" s="40">
        <f t="shared" si="25"/>
        <v>0</v>
      </c>
      <c r="M24" s="40">
        <f t="shared" si="25"/>
        <v>0</v>
      </c>
      <c r="N24" s="40">
        <f t="shared" si="25"/>
        <v>0</v>
      </c>
      <c r="O24" s="40">
        <f t="shared" si="25"/>
        <v>0</v>
      </c>
      <c r="P24" s="40">
        <f t="shared" si="25"/>
        <v>0</v>
      </c>
      <c r="Q24" s="40">
        <f t="shared" si="25"/>
        <v>0</v>
      </c>
      <c r="R24" s="40">
        <f t="shared" si="25"/>
        <v>0</v>
      </c>
      <c r="S24" s="40">
        <f t="shared" si="25"/>
        <v>0</v>
      </c>
      <c r="T24" s="40">
        <f t="shared" si="25"/>
        <v>0</v>
      </c>
      <c r="U24" s="40">
        <f t="shared" si="25"/>
        <v>0</v>
      </c>
      <c r="V24" s="40">
        <f t="shared" si="25"/>
        <v>0</v>
      </c>
      <c r="W24" s="40">
        <f t="shared" si="25"/>
        <v>0</v>
      </c>
      <c r="X24" s="40">
        <f t="shared" si="25"/>
        <v>0</v>
      </c>
      <c r="Y24" s="40">
        <f t="shared" si="25"/>
        <v>0</v>
      </c>
      <c r="Z24" s="40">
        <f t="shared" si="25"/>
        <v>0</v>
      </c>
      <c r="AB24" s="37"/>
      <c r="AC24" s="37"/>
      <c r="AD24" s="37"/>
    </row>
    <row r="25" spans="1:30" x14ac:dyDescent="0.2">
      <c r="A25" s="257"/>
      <c r="B25" s="263"/>
      <c r="C25" s="41" t="s">
        <v>161</v>
      </c>
      <c r="D25" s="40">
        <f>fuel_type2_today+fuel_type2_1.0</f>
        <v>0</v>
      </c>
      <c r="E25" s="40">
        <f>D25*(1+increase_hi)</f>
        <v>0</v>
      </c>
      <c r="F25" s="40">
        <f t="shared" ref="F25:Z25" si="26">E25*(1+increase_hi)</f>
        <v>0</v>
      </c>
      <c r="G25" s="40">
        <f t="shared" si="26"/>
        <v>0</v>
      </c>
      <c r="H25" s="40">
        <f t="shared" si="26"/>
        <v>0</v>
      </c>
      <c r="I25" s="40">
        <f t="shared" si="26"/>
        <v>0</v>
      </c>
      <c r="J25" s="40">
        <f t="shared" si="26"/>
        <v>0</v>
      </c>
      <c r="K25" s="40">
        <f t="shared" si="26"/>
        <v>0</v>
      </c>
      <c r="L25" s="40">
        <f t="shared" si="26"/>
        <v>0</v>
      </c>
      <c r="M25" s="40">
        <f t="shared" si="26"/>
        <v>0</v>
      </c>
      <c r="N25" s="40">
        <f t="shared" si="26"/>
        <v>0</v>
      </c>
      <c r="O25" s="40">
        <f t="shared" si="26"/>
        <v>0</v>
      </c>
      <c r="P25" s="40">
        <f t="shared" si="26"/>
        <v>0</v>
      </c>
      <c r="Q25" s="40">
        <f t="shared" si="26"/>
        <v>0</v>
      </c>
      <c r="R25" s="40">
        <f t="shared" si="26"/>
        <v>0</v>
      </c>
      <c r="S25" s="40">
        <f t="shared" si="26"/>
        <v>0</v>
      </c>
      <c r="T25" s="40">
        <f t="shared" si="26"/>
        <v>0</v>
      </c>
      <c r="U25" s="40">
        <f t="shared" si="26"/>
        <v>0</v>
      </c>
      <c r="V25" s="40">
        <f t="shared" si="26"/>
        <v>0</v>
      </c>
      <c r="W25" s="40">
        <f t="shared" si="26"/>
        <v>0</v>
      </c>
      <c r="X25" s="40">
        <f t="shared" si="26"/>
        <v>0</v>
      </c>
      <c r="Y25" s="40">
        <f t="shared" si="26"/>
        <v>0</v>
      </c>
      <c r="Z25" s="40">
        <f t="shared" si="26"/>
        <v>0</v>
      </c>
      <c r="AB25" s="37"/>
      <c r="AC25" s="37"/>
      <c r="AD25" s="37"/>
    </row>
    <row r="26" spans="1:30" x14ac:dyDescent="0.2">
      <c r="A26" s="257"/>
      <c r="B26" s="263"/>
      <c r="C26" s="41" t="s">
        <v>162</v>
      </c>
      <c r="D26" s="40">
        <f>fuel_type2_today+fuel_type2_0.5</f>
        <v>0</v>
      </c>
      <c r="E26" s="40">
        <f>D26*(1+increase_hi)</f>
        <v>0</v>
      </c>
      <c r="F26" s="40">
        <f>E26*(1+increase_hi)*(1+diff_2015_hi)</f>
        <v>0</v>
      </c>
      <c r="G26" s="40">
        <f t="shared" ref="G26:J27" si="27">F26*(1+increase_hi)</f>
        <v>0</v>
      </c>
      <c r="H26" s="40">
        <f t="shared" si="27"/>
        <v>0</v>
      </c>
      <c r="I26" s="40">
        <f t="shared" si="27"/>
        <v>0</v>
      </c>
      <c r="J26" s="40">
        <f t="shared" si="27"/>
        <v>0</v>
      </c>
      <c r="K26" s="40">
        <f>J26*(1+increase_hi)*IF(K$2=global0.5,(1+diff_2020_hi),1)</f>
        <v>0</v>
      </c>
      <c r="L26" s="40">
        <f t="shared" ref="L26:Z26" si="28">K26*(1+increase_hi)</f>
        <v>0</v>
      </c>
      <c r="M26" s="40">
        <f t="shared" si="28"/>
        <v>0</v>
      </c>
      <c r="N26" s="40">
        <f t="shared" si="28"/>
        <v>0</v>
      </c>
      <c r="O26" s="40">
        <f t="shared" si="28"/>
        <v>0</v>
      </c>
      <c r="P26" s="40">
        <f>O26*(1+increase_hi)*IF(P$2=global0.5,(1+diff_2020_hi),1)</f>
        <v>0</v>
      </c>
      <c r="Q26" s="40">
        <f t="shared" si="28"/>
        <v>0</v>
      </c>
      <c r="R26" s="40">
        <f t="shared" si="28"/>
        <v>0</v>
      </c>
      <c r="S26" s="40">
        <f t="shared" si="28"/>
        <v>0</v>
      </c>
      <c r="T26" s="40">
        <f t="shared" si="28"/>
        <v>0</v>
      </c>
      <c r="U26" s="40">
        <f t="shared" si="28"/>
        <v>0</v>
      </c>
      <c r="V26" s="40">
        <f t="shared" si="28"/>
        <v>0</v>
      </c>
      <c r="W26" s="40">
        <f t="shared" si="28"/>
        <v>0</v>
      </c>
      <c r="X26" s="40">
        <f t="shared" si="28"/>
        <v>0</v>
      </c>
      <c r="Y26" s="40">
        <f t="shared" si="28"/>
        <v>0</v>
      </c>
      <c r="Z26" s="40">
        <f t="shared" si="28"/>
        <v>0</v>
      </c>
      <c r="AB26" s="37"/>
      <c r="AC26" s="37"/>
      <c r="AD26" s="37"/>
    </row>
    <row r="27" spans="1:30" x14ac:dyDescent="0.2">
      <c r="A27" s="258"/>
      <c r="B27" s="263"/>
      <c r="C27" s="41" t="s">
        <v>163</v>
      </c>
      <c r="D27" s="40">
        <f>fuel_type2_today+fuel_type2_0.1</f>
        <v>0</v>
      </c>
      <c r="E27" s="40">
        <f>D27*(1+increase_hi)</f>
        <v>0</v>
      </c>
      <c r="F27" s="40">
        <f>E27*(1+increase_hi)*(1+diff_2015_hi)</f>
        <v>0</v>
      </c>
      <c r="G27" s="40">
        <f t="shared" si="27"/>
        <v>0</v>
      </c>
      <c r="H27" s="40">
        <f t="shared" si="27"/>
        <v>0</v>
      </c>
      <c r="I27" s="40">
        <f t="shared" si="27"/>
        <v>0</v>
      </c>
      <c r="J27" s="40">
        <f t="shared" si="27"/>
        <v>0</v>
      </c>
      <c r="K27" s="40">
        <f>J27*(1+increase_hi)*IF(K$2=global0.5,(1+diff_2020_hi),1)</f>
        <v>0</v>
      </c>
      <c r="L27" s="40">
        <f t="shared" ref="L27:Z27" si="29">K27*(1+increase_hi)</f>
        <v>0</v>
      </c>
      <c r="M27" s="40">
        <f t="shared" si="29"/>
        <v>0</v>
      </c>
      <c r="N27" s="40">
        <f t="shared" si="29"/>
        <v>0</v>
      </c>
      <c r="O27" s="40">
        <f t="shared" si="29"/>
        <v>0</v>
      </c>
      <c r="P27" s="40">
        <f>O27*(1+increase_hi)*IF(P$2=global0.5,(1+diff_2020_hi),1)</f>
        <v>0</v>
      </c>
      <c r="Q27" s="40">
        <f t="shared" si="29"/>
        <v>0</v>
      </c>
      <c r="R27" s="40">
        <f t="shared" si="29"/>
        <v>0</v>
      </c>
      <c r="S27" s="40">
        <f t="shared" si="29"/>
        <v>0</v>
      </c>
      <c r="T27" s="40">
        <f t="shared" si="29"/>
        <v>0</v>
      </c>
      <c r="U27" s="40">
        <f t="shared" si="29"/>
        <v>0</v>
      </c>
      <c r="V27" s="40">
        <f t="shared" si="29"/>
        <v>0</v>
      </c>
      <c r="W27" s="40">
        <f t="shared" si="29"/>
        <v>0</v>
      </c>
      <c r="X27" s="40">
        <f t="shared" si="29"/>
        <v>0</v>
      </c>
      <c r="Y27" s="40">
        <f t="shared" si="29"/>
        <v>0</v>
      </c>
      <c r="Z27" s="40">
        <f t="shared" si="29"/>
        <v>0</v>
      </c>
      <c r="AB27" s="37"/>
      <c r="AC27" s="37"/>
      <c r="AD27" s="37"/>
    </row>
    <row r="28" spans="1:30" ht="12.75" customHeight="1" x14ac:dyDescent="0.2">
      <c r="A28" s="260" t="str">
        <f>fuel_type3&amp; " Low Scenario"</f>
        <v xml:space="preserve"> Low Scenario</v>
      </c>
      <c r="B28" s="259" t="s">
        <v>26</v>
      </c>
      <c r="C28" s="43" t="s">
        <v>164</v>
      </c>
      <c r="D28" s="35">
        <f>fuel_type3_today</f>
        <v>0</v>
      </c>
      <c r="E28" s="35">
        <f>D28*(1+increase_lo)</f>
        <v>0</v>
      </c>
      <c r="F28" s="35">
        <f t="shared" ref="F28:Z28" si="30">E28*(1+increase_lo)</f>
        <v>0</v>
      </c>
      <c r="G28" s="35">
        <f t="shared" si="30"/>
        <v>0</v>
      </c>
      <c r="H28" s="35">
        <f t="shared" si="30"/>
        <v>0</v>
      </c>
      <c r="I28" s="35">
        <f t="shared" si="30"/>
        <v>0</v>
      </c>
      <c r="J28" s="35">
        <f t="shared" si="30"/>
        <v>0</v>
      </c>
      <c r="K28" s="35">
        <f t="shared" si="30"/>
        <v>0</v>
      </c>
      <c r="L28" s="35">
        <f t="shared" si="30"/>
        <v>0</v>
      </c>
      <c r="M28" s="35">
        <f t="shared" si="30"/>
        <v>0</v>
      </c>
      <c r="N28" s="35">
        <f t="shared" si="30"/>
        <v>0</v>
      </c>
      <c r="O28" s="35">
        <f t="shared" si="30"/>
        <v>0</v>
      </c>
      <c r="P28" s="35">
        <f t="shared" si="30"/>
        <v>0</v>
      </c>
      <c r="Q28" s="35">
        <f t="shared" si="30"/>
        <v>0</v>
      </c>
      <c r="R28" s="35">
        <f t="shared" si="30"/>
        <v>0</v>
      </c>
      <c r="S28" s="35">
        <f t="shared" si="30"/>
        <v>0</v>
      </c>
      <c r="T28" s="35">
        <f t="shared" si="30"/>
        <v>0</v>
      </c>
      <c r="U28" s="35">
        <f t="shared" si="30"/>
        <v>0</v>
      </c>
      <c r="V28" s="35">
        <f t="shared" si="30"/>
        <v>0</v>
      </c>
      <c r="W28" s="35">
        <f t="shared" si="30"/>
        <v>0</v>
      </c>
      <c r="X28" s="35">
        <f t="shared" si="30"/>
        <v>0</v>
      </c>
      <c r="Y28" s="35">
        <f t="shared" si="30"/>
        <v>0</v>
      </c>
      <c r="Z28" s="35">
        <f t="shared" si="30"/>
        <v>0</v>
      </c>
      <c r="AB28" s="37"/>
      <c r="AC28" s="37"/>
      <c r="AD28" s="37"/>
    </row>
    <row r="29" spans="1:30" x14ac:dyDescent="0.2">
      <c r="A29" s="261"/>
      <c r="B29" s="259"/>
      <c r="C29" s="43" t="s">
        <v>161</v>
      </c>
      <c r="D29" s="35">
        <f>fuel_type3_today+fuel_type3_1.0</f>
        <v>0</v>
      </c>
      <c r="E29" s="35">
        <f>D29*(1+increase_lo)</f>
        <v>0</v>
      </c>
      <c r="F29" s="35">
        <f t="shared" ref="F29:Z29" si="31">E29*(1+increase_lo)</f>
        <v>0</v>
      </c>
      <c r="G29" s="35">
        <f t="shared" si="31"/>
        <v>0</v>
      </c>
      <c r="H29" s="35">
        <f t="shared" si="31"/>
        <v>0</v>
      </c>
      <c r="I29" s="35">
        <f t="shared" si="31"/>
        <v>0</v>
      </c>
      <c r="J29" s="35">
        <f t="shared" si="31"/>
        <v>0</v>
      </c>
      <c r="K29" s="35">
        <f t="shared" si="31"/>
        <v>0</v>
      </c>
      <c r="L29" s="35">
        <f t="shared" si="31"/>
        <v>0</v>
      </c>
      <c r="M29" s="35">
        <f t="shared" si="31"/>
        <v>0</v>
      </c>
      <c r="N29" s="35">
        <f t="shared" si="31"/>
        <v>0</v>
      </c>
      <c r="O29" s="35">
        <f t="shared" si="31"/>
        <v>0</v>
      </c>
      <c r="P29" s="35">
        <f t="shared" si="31"/>
        <v>0</v>
      </c>
      <c r="Q29" s="35">
        <f t="shared" si="31"/>
        <v>0</v>
      </c>
      <c r="R29" s="35">
        <f t="shared" si="31"/>
        <v>0</v>
      </c>
      <c r="S29" s="35">
        <f t="shared" si="31"/>
        <v>0</v>
      </c>
      <c r="T29" s="35">
        <f t="shared" si="31"/>
        <v>0</v>
      </c>
      <c r="U29" s="35">
        <f t="shared" si="31"/>
        <v>0</v>
      </c>
      <c r="V29" s="35">
        <f t="shared" si="31"/>
        <v>0</v>
      </c>
      <c r="W29" s="35">
        <f t="shared" si="31"/>
        <v>0</v>
      </c>
      <c r="X29" s="35">
        <f t="shared" si="31"/>
        <v>0</v>
      </c>
      <c r="Y29" s="35">
        <f t="shared" si="31"/>
        <v>0</v>
      </c>
      <c r="Z29" s="35">
        <f t="shared" si="31"/>
        <v>0</v>
      </c>
      <c r="AB29" s="37"/>
      <c r="AC29" s="37"/>
      <c r="AD29" s="37"/>
    </row>
    <row r="30" spans="1:30" x14ac:dyDescent="0.2">
      <c r="A30" s="261"/>
      <c r="B30" s="259"/>
      <c r="C30" s="43" t="s">
        <v>162</v>
      </c>
      <c r="D30" s="35">
        <f>fuel_type3_today+fuel_type3_0.5</f>
        <v>0</v>
      </c>
      <c r="E30" s="35">
        <f>D30*(1+increase_lo)</f>
        <v>0</v>
      </c>
      <c r="F30" s="35">
        <f>E30*(1+increase_lo)*(1+diff_2015_lo)</f>
        <v>0</v>
      </c>
      <c r="G30" s="35">
        <f t="shared" ref="G30:J31" si="32">F30*(1+increase_lo)</f>
        <v>0</v>
      </c>
      <c r="H30" s="35">
        <f t="shared" si="32"/>
        <v>0</v>
      </c>
      <c r="I30" s="35">
        <f t="shared" si="32"/>
        <v>0</v>
      </c>
      <c r="J30" s="35">
        <f t="shared" si="32"/>
        <v>0</v>
      </c>
      <c r="K30" s="35">
        <f>J30*(1+increase_lo)*IF(K$2=global0.5,(1+diff_2020_lo),1)</f>
        <v>0</v>
      </c>
      <c r="L30" s="35">
        <f t="shared" ref="L30:Z30" si="33">K30*(1+increase_lo)</f>
        <v>0</v>
      </c>
      <c r="M30" s="35">
        <f t="shared" si="33"/>
        <v>0</v>
      </c>
      <c r="N30" s="35">
        <f t="shared" si="33"/>
        <v>0</v>
      </c>
      <c r="O30" s="35">
        <f t="shared" si="33"/>
        <v>0</v>
      </c>
      <c r="P30" s="35">
        <f>O30*(1+increase_lo)*IF(P$2=global0.5,(1+diff_2020_lo),1)</f>
        <v>0</v>
      </c>
      <c r="Q30" s="35">
        <f t="shared" si="33"/>
        <v>0</v>
      </c>
      <c r="R30" s="35">
        <f t="shared" si="33"/>
        <v>0</v>
      </c>
      <c r="S30" s="35">
        <f t="shared" si="33"/>
        <v>0</v>
      </c>
      <c r="T30" s="35">
        <f t="shared" si="33"/>
        <v>0</v>
      </c>
      <c r="U30" s="35">
        <f t="shared" si="33"/>
        <v>0</v>
      </c>
      <c r="V30" s="35">
        <f t="shared" si="33"/>
        <v>0</v>
      </c>
      <c r="W30" s="35">
        <f t="shared" si="33"/>
        <v>0</v>
      </c>
      <c r="X30" s="35">
        <f t="shared" si="33"/>
        <v>0</v>
      </c>
      <c r="Y30" s="35">
        <f t="shared" si="33"/>
        <v>0</v>
      </c>
      <c r="Z30" s="35">
        <f t="shared" si="33"/>
        <v>0</v>
      </c>
      <c r="AB30" s="37"/>
      <c r="AC30" s="37"/>
      <c r="AD30" s="37"/>
    </row>
    <row r="31" spans="1:30" x14ac:dyDescent="0.2">
      <c r="A31" s="262"/>
      <c r="B31" s="259"/>
      <c r="C31" s="43" t="s">
        <v>163</v>
      </c>
      <c r="D31" s="35">
        <f>fuel_type3_today+fuel_type3_0.1</f>
        <v>0</v>
      </c>
      <c r="E31" s="35">
        <f>D31*(1+increase_lo)</f>
        <v>0</v>
      </c>
      <c r="F31" s="35">
        <f>E31*(1+increase_lo)*(1+diff_2015_lo)</f>
        <v>0</v>
      </c>
      <c r="G31" s="35">
        <f t="shared" si="32"/>
        <v>0</v>
      </c>
      <c r="H31" s="35">
        <f t="shared" si="32"/>
        <v>0</v>
      </c>
      <c r="I31" s="35">
        <f t="shared" si="32"/>
        <v>0</v>
      </c>
      <c r="J31" s="35">
        <f t="shared" si="32"/>
        <v>0</v>
      </c>
      <c r="K31" s="35">
        <f>J31*(1+increase_lo)*IF(K$2=global0.5,(1+diff_2020_lo),1)</f>
        <v>0</v>
      </c>
      <c r="L31" s="35">
        <f t="shared" ref="L31:Z31" si="34">K31*(1+increase_lo)</f>
        <v>0</v>
      </c>
      <c r="M31" s="35">
        <f t="shared" si="34"/>
        <v>0</v>
      </c>
      <c r="N31" s="35">
        <f t="shared" si="34"/>
        <v>0</v>
      </c>
      <c r="O31" s="35">
        <f t="shared" si="34"/>
        <v>0</v>
      </c>
      <c r="P31" s="35">
        <f>O31*(1+increase_lo)*IF(P$2=global0.5,(1+diff_2020_lo),1)</f>
        <v>0</v>
      </c>
      <c r="Q31" s="35">
        <f t="shared" si="34"/>
        <v>0</v>
      </c>
      <c r="R31" s="35">
        <f t="shared" si="34"/>
        <v>0</v>
      </c>
      <c r="S31" s="35">
        <f t="shared" si="34"/>
        <v>0</v>
      </c>
      <c r="T31" s="35">
        <f t="shared" si="34"/>
        <v>0</v>
      </c>
      <c r="U31" s="35">
        <f t="shared" si="34"/>
        <v>0</v>
      </c>
      <c r="V31" s="35">
        <f t="shared" si="34"/>
        <v>0</v>
      </c>
      <c r="W31" s="35">
        <f t="shared" si="34"/>
        <v>0</v>
      </c>
      <c r="X31" s="35">
        <f t="shared" si="34"/>
        <v>0</v>
      </c>
      <c r="Y31" s="35">
        <f t="shared" si="34"/>
        <v>0</v>
      </c>
      <c r="Z31" s="35">
        <f t="shared" si="34"/>
        <v>0</v>
      </c>
      <c r="AB31" s="37"/>
      <c r="AC31" s="37"/>
      <c r="AD31" s="37"/>
    </row>
    <row r="32" spans="1:30" ht="12.75" customHeight="1" x14ac:dyDescent="0.2">
      <c r="A32" s="260" t="str">
        <f>fuel_type3&amp; " Medium Scenario"</f>
        <v xml:space="preserve"> Medium Scenario</v>
      </c>
      <c r="B32" s="259"/>
      <c r="C32" s="43" t="s">
        <v>164</v>
      </c>
      <c r="D32" s="39">
        <f>fuel_type3_today</f>
        <v>0</v>
      </c>
      <c r="E32" s="39">
        <f>D32*(1+increase_med)</f>
        <v>0</v>
      </c>
      <c r="F32" s="39">
        <f t="shared" ref="F32:Z32" si="35">E32*(1+increase_med)</f>
        <v>0</v>
      </c>
      <c r="G32" s="39">
        <f t="shared" si="35"/>
        <v>0</v>
      </c>
      <c r="H32" s="39">
        <f t="shared" si="35"/>
        <v>0</v>
      </c>
      <c r="I32" s="39">
        <f t="shared" si="35"/>
        <v>0</v>
      </c>
      <c r="J32" s="39">
        <f t="shared" si="35"/>
        <v>0</v>
      </c>
      <c r="K32" s="39">
        <f t="shared" si="35"/>
        <v>0</v>
      </c>
      <c r="L32" s="39">
        <f t="shared" si="35"/>
        <v>0</v>
      </c>
      <c r="M32" s="39">
        <f t="shared" si="35"/>
        <v>0</v>
      </c>
      <c r="N32" s="39">
        <f t="shared" si="35"/>
        <v>0</v>
      </c>
      <c r="O32" s="39">
        <f t="shared" si="35"/>
        <v>0</v>
      </c>
      <c r="P32" s="39">
        <f t="shared" si="35"/>
        <v>0</v>
      </c>
      <c r="Q32" s="39">
        <f t="shared" si="35"/>
        <v>0</v>
      </c>
      <c r="R32" s="39">
        <f t="shared" si="35"/>
        <v>0</v>
      </c>
      <c r="S32" s="39">
        <f t="shared" si="35"/>
        <v>0</v>
      </c>
      <c r="T32" s="39">
        <f t="shared" si="35"/>
        <v>0</v>
      </c>
      <c r="U32" s="39">
        <f t="shared" si="35"/>
        <v>0</v>
      </c>
      <c r="V32" s="39">
        <f t="shared" si="35"/>
        <v>0</v>
      </c>
      <c r="W32" s="39">
        <f t="shared" si="35"/>
        <v>0</v>
      </c>
      <c r="X32" s="39">
        <f t="shared" si="35"/>
        <v>0</v>
      </c>
      <c r="Y32" s="39">
        <f t="shared" si="35"/>
        <v>0</v>
      </c>
      <c r="Z32" s="39">
        <f t="shared" si="35"/>
        <v>0</v>
      </c>
      <c r="AB32" s="37"/>
      <c r="AC32" s="37"/>
      <c r="AD32" s="37"/>
    </row>
    <row r="33" spans="1:30" x14ac:dyDescent="0.2">
      <c r="A33" s="261"/>
      <c r="B33" s="259"/>
      <c r="C33" s="43" t="s">
        <v>161</v>
      </c>
      <c r="D33" s="39">
        <f>fuel_type3_today+fuel_type3_1.0</f>
        <v>0</v>
      </c>
      <c r="E33" s="39">
        <f>D33*(1+increase_med)</f>
        <v>0</v>
      </c>
      <c r="F33" s="39">
        <f t="shared" ref="F33:Z33" si="36">E33*(1+increase_med)</f>
        <v>0</v>
      </c>
      <c r="G33" s="39">
        <f t="shared" si="36"/>
        <v>0</v>
      </c>
      <c r="H33" s="39">
        <f t="shared" si="36"/>
        <v>0</v>
      </c>
      <c r="I33" s="39">
        <f t="shared" si="36"/>
        <v>0</v>
      </c>
      <c r="J33" s="39">
        <f t="shared" si="36"/>
        <v>0</v>
      </c>
      <c r="K33" s="39">
        <f t="shared" si="36"/>
        <v>0</v>
      </c>
      <c r="L33" s="39">
        <f t="shared" si="36"/>
        <v>0</v>
      </c>
      <c r="M33" s="39">
        <f t="shared" si="36"/>
        <v>0</v>
      </c>
      <c r="N33" s="39">
        <f t="shared" si="36"/>
        <v>0</v>
      </c>
      <c r="O33" s="39">
        <f t="shared" si="36"/>
        <v>0</v>
      </c>
      <c r="P33" s="39">
        <f t="shared" si="36"/>
        <v>0</v>
      </c>
      <c r="Q33" s="39">
        <f t="shared" si="36"/>
        <v>0</v>
      </c>
      <c r="R33" s="39">
        <f t="shared" si="36"/>
        <v>0</v>
      </c>
      <c r="S33" s="39">
        <f t="shared" si="36"/>
        <v>0</v>
      </c>
      <c r="T33" s="39">
        <f t="shared" si="36"/>
        <v>0</v>
      </c>
      <c r="U33" s="39">
        <f t="shared" si="36"/>
        <v>0</v>
      </c>
      <c r="V33" s="39">
        <f t="shared" si="36"/>
        <v>0</v>
      </c>
      <c r="W33" s="39">
        <f t="shared" si="36"/>
        <v>0</v>
      </c>
      <c r="X33" s="39">
        <f t="shared" si="36"/>
        <v>0</v>
      </c>
      <c r="Y33" s="39">
        <f t="shared" si="36"/>
        <v>0</v>
      </c>
      <c r="Z33" s="39">
        <f t="shared" si="36"/>
        <v>0</v>
      </c>
      <c r="AB33" s="37"/>
      <c r="AC33" s="37"/>
      <c r="AD33" s="37"/>
    </row>
    <row r="34" spans="1:30" x14ac:dyDescent="0.2">
      <c r="A34" s="261"/>
      <c r="B34" s="259"/>
      <c r="C34" s="43" t="s">
        <v>162</v>
      </c>
      <c r="D34" s="39">
        <f>fuel_type3_today+fuel_type3_0.5</f>
        <v>0</v>
      </c>
      <c r="E34" s="39">
        <f>D34*(1+increase_med)</f>
        <v>0</v>
      </c>
      <c r="F34" s="39">
        <f>E34*(1+increase_med)*(1+diff_2015_med)</f>
        <v>0</v>
      </c>
      <c r="G34" s="39">
        <f t="shared" ref="G34:J35" si="37">F34*(1+increase_med)</f>
        <v>0</v>
      </c>
      <c r="H34" s="39">
        <f t="shared" si="37"/>
        <v>0</v>
      </c>
      <c r="I34" s="39">
        <f t="shared" si="37"/>
        <v>0</v>
      </c>
      <c r="J34" s="39">
        <f t="shared" si="37"/>
        <v>0</v>
      </c>
      <c r="K34" s="39">
        <f>J34*(1+increase_med)*IF(K$2=global0.5,(1+diff_2020_med),1)</f>
        <v>0</v>
      </c>
      <c r="L34" s="39">
        <f t="shared" ref="L34:Z34" si="38">K34*(1+increase_med)</f>
        <v>0</v>
      </c>
      <c r="M34" s="39">
        <f t="shared" si="38"/>
        <v>0</v>
      </c>
      <c r="N34" s="39">
        <f t="shared" si="38"/>
        <v>0</v>
      </c>
      <c r="O34" s="39">
        <f t="shared" si="38"/>
        <v>0</v>
      </c>
      <c r="P34" s="39">
        <f>O34*(1+increase_med)*IF(P$2=global0.5,(1+diff_2020_med),1)</f>
        <v>0</v>
      </c>
      <c r="Q34" s="39">
        <f t="shared" si="38"/>
        <v>0</v>
      </c>
      <c r="R34" s="39">
        <f t="shared" si="38"/>
        <v>0</v>
      </c>
      <c r="S34" s="39">
        <f t="shared" si="38"/>
        <v>0</v>
      </c>
      <c r="T34" s="39">
        <f t="shared" si="38"/>
        <v>0</v>
      </c>
      <c r="U34" s="39">
        <f t="shared" si="38"/>
        <v>0</v>
      </c>
      <c r="V34" s="39">
        <f t="shared" si="38"/>
        <v>0</v>
      </c>
      <c r="W34" s="39">
        <f t="shared" si="38"/>
        <v>0</v>
      </c>
      <c r="X34" s="39">
        <f t="shared" si="38"/>
        <v>0</v>
      </c>
      <c r="Y34" s="39">
        <f t="shared" si="38"/>
        <v>0</v>
      </c>
      <c r="Z34" s="39">
        <f t="shared" si="38"/>
        <v>0</v>
      </c>
      <c r="AB34" s="37"/>
      <c r="AC34" s="37"/>
      <c r="AD34" s="37"/>
    </row>
    <row r="35" spans="1:30" x14ac:dyDescent="0.2">
      <c r="A35" s="262"/>
      <c r="B35" s="259"/>
      <c r="C35" s="43" t="s">
        <v>163</v>
      </c>
      <c r="D35" s="39">
        <f>fuel_type3_today+fuel_type3_0.1</f>
        <v>0</v>
      </c>
      <c r="E35" s="39">
        <f>D35*(1+increase_med)</f>
        <v>0</v>
      </c>
      <c r="F35" s="39">
        <f>E35*(1+increase_med)*(1+diff_2015_med)</f>
        <v>0</v>
      </c>
      <c r="G35" s="39">
        <f t="shared" si="37"/>
        <v>0</v>
      </c>
      <c r="H35" s="39">
        <f t="shared" si="37"/>
        <v>0</v>
      </c>
      <c r="I35" s="39">
        <f t="shared" si="37"/>
        <v>0</v>
      </c>
      <c r="J35" s="39">
        <f t="shared" si="37"/>
        <v>0</v>
      </c>
      <c r="K35" s="39">
        <f>J35*(1+increase_med)*IF(K$2=global0.5,(1+diff_2020_med),1)</f>
        <v>0</v>
      </c>
      <c r="L35" s="39">
        <f t="shared" ref="L35:Z35" si="39">K35*(1+increase_med)</f>
        <v>0</v>
      </c>
      <c r="M35" s="39">
        <f t="shared" si="39"/>
        <v>0</v>
      </c>
      <c r="N35" s="39">
        <f t="shared" si="39"/>
        <v>0</v>
      </c>
      <c r="O35" s="39">
        <f t="shared" si="39"/>
        <v>0</v>
      </c>
      <c r="P35" s="39">
        <f>O35*(1+increase_med)*IF(P$2=global0.5,(1+diff_2020_med),1)</f>
        <v>0</v>
      </c>
      <c r="Q35" s="39">
        <f t="shared" si="39"/>
        <v>0</v>
      </c>
      <c r="R35" s="39">
        <f t="shared" si="39"/>
        <v>0</v>
      </c>
      <c r="S35" s="39">
        <f t="shared" si="39"/>
        <v>0</v>
      </c>
      <c r="T35" s="39">
        <f t="shared" si="39"/>
        <v>0</v>
      </c>
      <c r="U35" s="39">
        <f t="shared" si="39"/>
        <v>0</v>
      </c>
      <c r="V35" s="39">
        <f t="shared" si="39"/>
        <v>0</v>
      </c>
      <c r="W35" s="39">
        <f t="shared" si="39"/>
        <v>0</v>
      </c>
      <c r="X35" s="39">
        <f t="shared" si="39"/>
        <v>0</v>
      </c>
      <c r="Y35" s="39">
        <f t="shared" si="39"/>
        <v>0</v>
      </c>
      <c r="Z35" s="39">
        <f t="shared" si="39"/>
        <v>0</v>
      </c>
      <c r="AB35" s="37"/>
      <c r="AC35" s="37"/>
      <c r="AD35" s="37"/>
    </row>
    <row r="36" spans="1:30" ht="12.75" customHeight="1" x14ac:dyDescent="0.2">
      <c r="A36" s="260" t="str">
        <f>fuel_type3&amp; " High Scenario"</f>
        <v xml:space="preserve"> High Scenario</v>
      </c>
      <c r="B36" s="259"/>
      <c r="C36" s="43" t="s">
        <v>164</v>
      </c>
      <c r="D36" s="40">
        <f>fuel_type3_today</f>
        <v>0</v>
      </c>
      <c r="E36" s="40">
        <f>D36*(1+increase_hi)</f>
        <v>0</v>
      </c>
      <c r="F36" s="40">
        <f t="shared" ref="F36:Z36" si="40">E36*(1+increase_hi)</f>
        <v>0</v>
      </c>
      <c r="G36" s="40">
        <f t="shared" si="40"/>
        <v>0</v>
      </c>
      <c r="H36" s="40">
        <f t="shared" si="40"/>
        <v>0</v>
      </c>
      <c r="I36" s="40">
        <f t="shared" si="40"/>
        <v>0</v>
      </c>
      <c r="J36" s="40">
        <f t="shared" si="40"/>
        <v>0</v>
      </c>
      <c r="K36" s="40">
        <f t="shared" si="40"/>
        <v>0</v>
      </c>
      <c r="L36" s="40">
        <f t="shared" si="40"/>
        <v>0</v>
      </c>
      <c r="M36" s="40">
        <f t="shared" si="40"/>
        <v>0</v>
      </c>
      <c r="N36" s="40">
        <f t="shared" si="40"/>
        <v>0</v>
      </c>
      <c r="O36" s="40">
        <f t="shared" si="40"/>
        <v>0</v>
      </c>
      <c r="P36" s="40">
        <f t="shared" si="40"/>
        <v>0</v>
      </c>
      <c r="Q36" s="40">
        <f t="shared" si="40"/>
        <v>0</v>
      </c>
      <c r="R36" s="40">
        <f t="shared" si="40"/>
        <v>0</v>
      </c>
      <c r="S36" s="40">
        <f t="shared" si="40"/>
        <v>0</v>
      </c>
      <c r="T36" s="40">
        <f t="shared" si="40"/>
        <v>0</v>
      </c>
      <c r="U36" s="40">
        <f t="shared" si="40"/>
        <v>0</v>
      </c>
      <c r="V36" s="40">
        <f t="shared" si="40"/>
        <v>0</v>
      </c>
      <c r="W36" s="40">
        <f t="shared" si="40"/>
        <v>0</v>
      </c>
      <c r="X36" s="40">
        <f t="shared" si="40"/>
        <v>0</v>
      </c>
      <c r="Y36" s="40">
        <f t="shared" si="40"/>
        <v>0</v>
      </c>
      <c r="Z36" s="40">
        <f t="shared" si="40"/>
        <v>0</v>
      </c>
      <c r="AB36" s="37"/>
      <c r="AC36" s="37"/>
      <c r="AD36" s="37"/>
    </row>
    <row r="37" spans="1:30" x14ac:dyDescent="0.2">
      <c r="A37" s="261"/>
      <c r="B37" s="259"/>
      <c r="C37" s="43" t="s">
        <v>161</v>
      </c>
      <c r="D37" s="40">
        <f>fuel_type3_today+fuel_type3_1.0</f>
        <v>0</v>
      </c>
      <c r="E37" s="40">
        <f>D37*(1+increase_hi)</f>
        <v>0</v>
      </c>
      <c r="F37" s="40">
        <f t="shared" ref="F37:Z37" si="41">E37*(1+increase_hi)</f>
        <v>0</v>
      </c>
      <c r="G37" s="40">
        <f t="shared" si="41"/>
        <v>0</v>
      </c>
      <c r="H37" s="40">
        <f t="shared" si="41"/>
        <v>0</v>
      </c>
      <c r="I37" s="40">
        <f t="shared" si="41"/>
        <v>0</v>
      </c>
      <c r="J37" s="40">
        <f t="shared" si="41"/>
        <v>0</v>
      </c>
      <c r="K37" s="40">
        <f t="shared" si="41"/>
        <v>0</v>
      </c>
      <c r="L37" s="40">
        <f t="shared" si="41"/>
        <v>0</v>
      </c>
      <c r="M37" s="40">
        <f t="shared" si="41"/>
        <v>0</v>
      </c>
      <c r="N37" s="40">
        <f t="shared" si="41"/>
        <v>0</v>
      </c>
      <c r="O37" s="40">
        <f t="shared" si="41"/>
        <v>0</v>
      </c>
      <c r="P37" s="40">
        <f t="shared" si="41"/>
        <v>0</v>
      </c>
      <c r="Q37" s="40">
        <f t="shared" si="41"/>
        <v>0</v>
      </c>
      <c r="R37" s="40">
        <f t="shared" si="41"/>
        <v>0</v>
      </c>
      <c r="S37" s="40">
        <f t="shared" si="41"/>
        <v>0</v>
      </c>
      <c r="T37" s="40">
        <f t="shared" si="41"/>
        <v>0</v>
      </c>
      <c r="U37" s="40">
        <f t="shared" si="41"/>
        <v>0</v>
      </c>
      <c r="V37" s="40">
        <f t="shared" si="41"/>
        <v>0</v>
      </c>
      <c r="W37" s="40">
        <f t="shared" si="41"/>
        <v>0</v>
      </c>
      <c r="X37" s="40">
        <f t="shared" si="41"/>
        <v>0</v>
      </c>
      <c r="Y37" s="40">
        <f t="shared" si="41"/>
        <v>0</v>
      </c>
      <c r="Z37" s="40">
        <f t="shared" si="41"/>
        <v>0</v>
      </c>
      <c r="AB37" s="37"/>
      <c r="AC37" s="37"/>
      <c r="AD37" s="37"/>
    </row>
    <row r="38" spans="1:30" x14ac:dyDescent="0.2">
      <c r="A38" s="261"/>
      <c r="B38" s="259"/>
      <c r="C38" s="43" t="s">
        <v>162</v>
      </c>
      <c r="D38" s="40">
        <f>fuel_type3_today+fuel_type3_0.5</f>
        <v>0</v>
      </c>
      <c r="E38" s="40">
        <f>D38*(1+increase_hi)</f>
        <v>0</v>
      </c>
      <c r="F38" s="40">
        <f>E38*(1+increase_hi)*(1+diff_2015_hi)</f>
        <v>0</v>
      </c>
      <c r="G38" s="40">
        <f t="shared" ref="G38:J39" si="42">F38*(1+increase_hi)</f>
        <v>0</v>
      </c>
      <c r="H38" s="40">
        <f t="shared" si="42"/>
        <v>0</v>
      </c>
      <c r="I38" s="40">
        <f t="shared" si="42"/>
        <v>0</v>
      </c>
      <c r="J38" s="40">
        <f t="shared" si="42"/>
        <v>0</v>
      </c>
      <c r="K38" s="40">
        <f>J38*(1+increase_hi)*IF(L$2=global0.5,(1+diff_2020_hi),1)</f>
        <v>0</v>
      </c>
      <c r="L38" s="40">
        <f t="shared" ref="L38:Z38" si="43">K38*(1+increase_hi)</f>
        <v>0</v>
      </c>
      <c r="M38" s="40">
        <f t="shared" si="43"/>
        <v>0</v>
      </c>
      <c r="N38" s="40">
        <f t="shared" si="43"/>
        <v>0</v>
      </c>
      <c r="O38" s="40">
        <f t="shared" si="43"/>
        <v>0</v>
      </c>
      <c r="P38" s="40">
        <f>O38*(1+increase_hi)*IF(P$2=global0.5,(1+diff_2020_hi),1)</f>
        <v>0</v>
      </c>
      <c r="Q38" s="40">
        <f t="shared" si="43"/>
        <v>0</v>
      </c>
      <c r="R38" s="40">
        <f t="shared" si="43"/>
        <v>0</v>
      </c>
      <c r="S38" s="40">
        <f t="shared" si="43"/>
        <v>0</v>
      </c>
      <c r="T38" s="40">
        <f t="shared" si="43"/>
        <v>0</v>
      </c>
      <c r="U38" s="40">
        <f t="shared" si="43"/>
        <v>0</v>
      </c>
      <c r="V38" s="40">
        <f t="shared" si="43"/>
        <v>0</v>
      </c>
      <c r="W38" s="40">
        <f t="shared" si="43"/>
        <v>0</v>
      </c>
      <c r="X38" s="40">
        <f t="shared" si="43"/>
        <v>0</v>
      </c>
      <c r="Y38" s="40">
        <f t="shared" si="43"/>
        <v>0</v>
      </c>
      <c r="Z38" s="40">
        <f t="shared" si="43"/>
        <v>0</v>
      </c>
      <c r="AB38" s="37"/>
      <c r="AC38" s="37"/>
      <c r="AD38" s="37"/>
    </row>
    <row r="39" spans="1:30" x14ac:dyDescent="0.2">
      <c r="A39" s="262"/>
      <c r="B39" s="259"/>
      <c r="C39" s="43" t="s">
        <v>163</v>
      </c>
      <c r="D39" s="40">
        <f>fuel_type3_today+fuel_type3_0.1</f>
        <v>0</v>
      </c>
      <c r="E39" s="40">
        <f>D39*(1+increase_hi)</f>
        <v>0</v>
      </c>
      <c r="F39" s="40">
        <f>E39*(1+increase_hi)*(1+diff_2015_hi)</f>
        <v>0</v>
      </c>
      <c r="G39" s="40">
        <f t="shared" si="42"/>
        <v>0</v>
      </c>
      <c r="H39" s="40">
        <f t="shared" si="42"/>
        <v>0</v>
      </c>
      <c r="I39" s="40">
        <f t="shared" si="42"/>
        <v>0</v>
      </c>
      <c r="J39" s="40">
        <f t="shared" si="42"/>
        <v>0</v>
      </c>
      <c r="K39" s="40">
        <f>J39*(1+increase_hi)*IF(L$2=global0.5,(1+diff_2020_hi),1)</f>
        <v>0</v>
      </c>
      <c r="L39" s="40">
        <f t="shared" ref="L39:Z39" si="44">K39*(1+increase_hi)</f>
        <v>0</v>
      </c>
      <c r="M39" s="40">
        <f t="shared" si="44"/>
        <v>0</v>
      </c>
      <c r="N39" s="40">
        <f t="shared" si="44"/>
        <v>0</v>
      </c>
      <c r="O39" s="40">
        <f t="shared" si="44"/>
        <v>0</v>
      </c>
      <c r="P39" s="40">
        <f>O39*(1+increase_hi)*IF(P$2=global0.5,(1+diff_2020_hi),1)</f>
        <v>0</v>
      </c>
      <c r="Q39" s="40">
        <f t="shared" si="44"/>
        <v>0</v>
      </c>
      <c r="R39" s="40">
        <f t="shared" si="44"/>
        <v>0</v>
      </c>
      <c r="S39" s="40">
        <f t="shared" si="44"/>
        <v>0</v>
      </c>
      <c r="T39" s="40">
        <f t="shared" si="44"/>
        <v>0</v>
      </c>
      <c r="U39" s="40">
        <f t="shared" si="44"/>
        <v>0</v>
      </c>
      <c r="V39" s="40">
        <f t="shared" si="44"/>
        <v>0</v>
      </c>
      <c r="W39" s="40">
        <f t="shared" si="44"/>
        <v>0</v>
      </c>
      <c r="X39" s="40">
        <f t="shared" si="44"/>
        <v>0</v>
      </c>
      <c r="Y39" s="40">
        <f t="shared" si="44"/>
        <v>0</v>
      </c>
      <c r="Z39" s="40">
        <f t="shared" si="44"/>
        <v>0</v>
      </c>
      <c r="AB39" s="37"/>
      <c r="AC39" s="37"/>
      <c r="AD39" s="37"/>
    </row>
    <row r="40" spans="1:30" ht="12.75" customHeight="1" x14ac:dyDescent="0.2">
      <c r="A40" s="251" t="str">
        <f>fuel_type4&amp; " Low Scenario"</f>
        <v xml:space="preserve"> Low Scenario</v>
      </c>
      <c r="B40" s="254" t="s">
        <v>26</v>
      </c>
      <c r="C40" s="44" t="s">
        <v>164</v>
      </c>
      <c r="D40" s="35">
        <f>fuel_type4_today</f>
        <v>0</v>
      </c>
      <c r="E40" s="35">
        <f>D40*(1+increase_lo)</f>
        <v>0</v>
      </c>
      <c r="F40" s="35">
        <f t="shared" ref="F40:Z40" si="45">E40*(1+increase_lo)</f>
        <v>0</v>
      </c>
      <c r="G40" s="35">
        <f t="shared" si="45"/>
        <v>0</v>
      </c>
      <c r="H40" s="35">
        <f t="shared" si="45"/>
        <v>0</v>
      </c>
      <c r="I40" s="35">
        <f t="shared" si="45"/>
        <v>0</v>
      </c>
      <c r="J40" s="35">
        <f t="shared" si="45"/>
        <v>0</v>
      </c>
      <c r="K40" s="35">
        <f t="shared" si="45"/>
        <v>0</v>
      </c>
      <c r="L40" s="35">
        <f t="shared" si="45"/>
        <v>0</v>
      </c>
      <c r="M40" s="35">
        <f t="shared" si="45"/>
        <v>0</v>
      </c>
      <c r="N40" s="35">
        <f t="shared" si="45"/>
        <v>0</v>
      </c>
      <c r="O40" s="35">
        <f t="shared" si="45"/>
        <v>0</v>
      </c>
      <c r="P40" s="35">
        <f t="shared" si="45"/>
        <v>0</v>
      </c>
      <c r="Q40" s="35">
        <f t="shared" si="45"/>
        <v>0</v>
      </c>
      <c r="R40" s="35">
        <f t="shared" si="45"/>
        <v>0</v>
      </c>
      <c r="S40" s="35">
        <f t="shared" si="45"/>
        <v>0</v>
      </c>
      <c r="T40" s="35">
        <f t="shared" si="45"/>
        <v>0</v>
      </c>
      <c r="U40" s="35">
        <f t="shared" si="45"/>
        <v>0</v>
      </c>
      <c r="V40" s="35">
        <f t="shared" si="45"/>
        <v>0</v>
      </c>
      <c r="W40" s="35">
        <f t="shared" si="45"/>
        <v>0</v>
      </c>
      <c r="X40" s="35">
        <f t="shared" si="45"/>
        <v>0</v>
      </c>
      <c r="Y40" s="35">
        <f t="shared" si="45"/>
        <v>0</v>
      </c>
      <c r="Z40" s="35">
        <f t="shared" si="45"/>
        <v>0</v>
      </c>
      <c r="AB40" s="37"/>
      <c r="AC40" s="37"/>
      <c r="AD40" s="37"/>
    </row>
    <row r="41" spans="1:30" x14ac:dyDescent="0.2">
      <c r="A41" s="252"/>
      <c r="B41" s="254"/>
      <c r="C41" s="44" t="s">
        <v>161</v>
      </c>
      <c r="D41" s="35">
        <f>fuel_type4_today+fuel_type4_1.0</f>
        <v>0</v>
      </c>
      <c r="E41" s="35">
        <f>D41*(1+increase_lo)</f>
        <v>0</v>
      </c>
      <c r="F41" s="35">
        <f t="shared" ref="F41:Z41" si="46">E41*(1+increase_lo)</f>
        <v>0</v>
      </c>
      <c r="G41" s="35">
        <f t="shared" si="46"/>
        <v>0</v>
      </c>
      <c r="H41" s="35">
        <f t="shared" si="46"/>
        <v>0</v>
      </c>
      <c r="I41" s="35">
        <f t="shared" si="46"/>
        <v>0</v>
      </c>
      <c r="J41" s="35">
        <f t="shared" si="46"/>
        <v>0</v>
      </c>
      <c r="K41" s="35">
        <f t="shared" si="46"/>
        <v>0</v>
      </c>
      <c r="L41" s="35">
        <f t="shared" si="46"/>
        <v>0</v>
      </c>
      <c r="M41" s="35">
        <f t="shared" si="46"/>
        <v>0</v>
      </c>
      <c r="N41" s="35">
        <f t="shared" si="46"/>
        <v>0</v>
      </c>
      <c r="O41" s="35">
        <f t="shared" si="46"/>
        <v>0</v>
      </c>
      <c r="P41" s="35">
        <f t="shared" si="46"/>
        <v>0</v>
      </c>
      <c r="Q41" s="35">
        <f t="shared" si="46"/>
        <v>0</v>
      </c>
      <c r="R41" s="35">
        <f t="shared" si="46"/>
        <v>0</v>
      </c>
      <c r="S41" s="35">
        <f t="shared" si="46"/>
        <v>0</v>
      </c>
      <c r="T41" s="35">
        <f t="shared" si="46"/>
        <v>0</v>
      </c>
      <c r="U41" s="35">
        <f t="shared" si="46"/>
        <v>0</v>
      </c>
      <c r="V41" s="35">
        <f t="shared" si="46"/>
        <v>0</v>
      </c>
      <c r="W41" s="35">
        <f t="shared" si="46"/>
        <v>0</v>
      </c>
      <c r="X41" s="35">
        <f t="shared" si="46"/>
        <v>0</v>
      </c>
      <c r="Y41" s="35">
        <f t="shared" si="46"/>
        <v>0</v>
      </c>
      <c r="Z41" s="35">
        <f t="shared" si="46"/>
        <v>0</v>
      </c>
      <c r="AB41" s="37"/>
      <c r="AC41" s="37"/>
      <c r="AD41" s="37"/>
    </row>
    <row r="42" spans="1:30" x14ac:dyDescent="0.2">
      <c r="A42" s="252"/>
      <c r="B42" s="254"/>
      <c r="C42" s="44" t="s">
        <v>162</v>
      </c>
      <c r="D42" s="35">
        <f>fuel_type4_today+fuel_type4_0.5</f>
        <v>0</v>
      </c>
      <c r="E42" s="35">
        <f>D42*(1+increase_lo)</f>
        <v>0</v>
      </c>
      <c r="F42" s="35">
        <f>E42*(1+increase_lo)*(1+diff_2015_lo)</f>
        <v>0</v>
      </c>
      <c r="G42" s="35">
        <f t="shared" ref="G42:J43" si="47">F42*(1+increase_lo)</f>
        <v>0</v>
      </c>
      <c r="H42" s="35">
        <f t="shared" si="47"/>
        <v>0</v>
      </c>
      <c r="I42" s="35">
        <f t="shared" si="47"/>
        <v>0</v>
      </c>
      <c r="J42" s="35">
        <f t="shared" si="47"/>
        <v>0</v>
      </c>
      <c r="K42" s="35">
        <f>J42*(1+increase_lo)*IF(K$2=global0.5,(1+diff_2020_lo),1)</f>
        <v>0</v>
      </c>
      <c r="L42" s="35">
        <f t="shared" ref="L42:Z42" si="48">K42*(1+increase_lo)</f>
        <v>0</v>
      </c>
      <c r="M42" s="35">
        <f t="shared" si="48"/>
        <v>0</v>
      </c>
      <c r="N42" s="35">
        <f t="shared" si="48"/>
        <v>0</v>
      </c>
      <c r="O42" s="35">
        <f t="shared" si="48"/>
        <v>0</v>
      </c>
      <c r="P42" s="35">
        <f>O42*(1+increase_lo)*IF(P$2=global0.5,(1+diff_2020_lo),1)</f>
        <v>0</v>
      </c>
      <c r="Q42" s="35">
        <f t="shared" si="48"/>
        <v>0</v>
      </c>
      <c r="R42" s="35">
        <f t="shared" si="48"/>
        <v>0</v>
      </c>
      <c r="S42" s="35">
        <f t="shared" si="48"/>
        <v>0</v>
      </c>
      <c r="T42" s="35">
        <f t="shared" si="48"/>
        <v>0</v>
      </c>
      <c r="U42" s="35">
        <f t="shared" si="48"/>
        <v>0</v>
      </c>
      <c r="V42" s="35">
        <f t="shared" si="48"/>
        <v>0</v>
      </c>
      <c r="W42" s="35">
        <f t="shared" si="48"/>
        <v>0</v>
      </c>
      <c r="X42" s="35">
        <f t="shared" si="48"/>
        <v>0</v>
      </c>
      <c r="Y42" s="35">
        <f t="shared" si="48"/>
        <v>0</v>
      </c>
      <c r="Z42" s="35">
        <f t="shared" si="48"/>
        <v>0</v>
      </c>
      <c r="AB42" s="37"/>
      <c r="AC42" s="37"/>
      <c r="AD42" s="37"/>
    </row>
    <row r="43" spans="1:30" x14ac:dyDescent="0.2">
      <c r="A43" s="253"/>
      <c r="B43" s="254"/>
      <c r="C43" s="44" t="s">
        <v>163</v>
      </c>
      <c r="D43" s="35">
        <f>fuel_type4_today+fuel_type4_0.1</f>
        <v>0</v>
      </c>
      <c r="E43" s="35">
        <f>D43*(1+increase_lo)</f>
        <v>0</v>
      </c>
      <c r="F43" s="35">
        <f>E43*(1+increase_lo)*(1+diff_2015_lo)</f>
        <v>0</v>
      </c>
      <c r="G43" s="35">
        <f t="shared" si="47"/>
        <v>0</v>
      </c>
      <c r="H43" s="35">
        <f t="shared" si="47"/>
        <v>0</v>
      </c>
      <c r="I43" s="35">
        <f t="shared" si="47"/>
        <v>0</v>
      </c>
      <c r="J43" s="35">
        <f t="shared" si="47"/>
        <v>0</v>
      </c>
      <c r="K43" s="35">
        <f>J43*(1+increase_lo)*IF(K$2=global0.5,(1+diff_2020_lo),1)</f>
        <v>0</v>
      </c>
      <c r="L43" s="35">
        <f t="shared" ref="L43:Z43" si="49">K43*(1+increase_lo)</f>
        <v>0</v>
      </c>
      <c r="M43" s="35">
        <f t="shared" si="49"/>
        <v>0</v>
      </c>
      <c r="N43" s="35">
        <f t="shared" si="49"/>
        <v>0</v>
      </c>
      <c r="O43" s="35">
        <f t="shared" si="49"/>
        <v>0</v>
      </c>
      <c r="P43" s="35">
        <f>O43*(1+increase_lo)*IF(P$2=global0.5,(1+diff_2020_lo),1)</f>
        <v>0</v>
      </c>
      <c r="Q43" s="35">
        <f t="shared" si="49"/>
        <v>0</v>
      </c>
      <c r="R43" s="35">
        <f t="shared" si="49"/>
        <v>0</v>
      </c>
      <c r="S43" s="35">
        <f t="shared" si="49"/>
        <v>0</v>
      </c>
      <c r="T43" s="35">
        <f t="shared" si="49"/>
        <v>0</v>
      </c>
      <c r="U43" s="35">
        <f t="shared" si="49"/>
        <v>0</v>
      </c>
      <c r="V43" s="35">
        <f t="shared" si="49"/>
        <v>0</v>
      </c>
      <c r="W43" s="35">
        <f t="shared" si="49"/>
        <v>0</v>
      </c>
      <c r="X43" s="35">
        <f t="shared" si="49"/>
        <v>0</v>
      </c>
      <c r="Y43" s="35">
        <f t="shared" si="49"/>
        <v>0</v>
      </c>
      <c r="Z43" s="35">
        <f t="shared" si="49"/>
        <v>0</v>
      </c>
      <c r="AB43" s="37"/>
      <c r="AC43" s="37"/>
      <c r="AD43" s="37"/>
    </row>
    <row r="44" spans="1:30" ht="12.75" customHeight="1" x14ac:dyDescent="0.2">
      <c r="A44" s="251" t="str">
        <f>fuel_type4&amp; " Medium Scenario"</f>
        <v xml:space="preserve"> Medium Scenario</v>
      </c>
      <c r="B44" s="254"/>
      <c r="C44" s="44" t="s">
        <v>164</v>
      </c>
      <c r="D44" s="39">
        <f>fuel_type4_today</f>
        <v>0</v>
      </c>
      <c r="E44" s="39">
        <f>D44*(1+increase_med)</f>
        <v>0</v>
      </c>
      <c r="F44" s="39">
        <f t="shared" ref="F44:Z44" si="50">E44*(1+increase_med)</f>
        <v>0</v>
      </c>
      <c r="G44" s="39">
        <f t="shared" si="50"/>
        <v>0</v>
      </c>
      <c r="H44" s="39">
        <f t="shared" si="50"/>
        <v>0</v>
      </c>
      <c r="I44" s="39">
        <f t="shared" si="50"/>
        <v>0</v>
      </c>
      <c r="J44" s="39">
        <f t="shared" si="50"/>
        <v>0</v>
      </c>
      <c r="K44" s="39">
        <f t="shared" si="50"/>
        <v>0</v>
      </c>
      <c r="L44" s="39">
        <f t="shared" si="50"/>
        <v>0</v>
      </c>
      <c r="M44" s="39">
        <f t="shared" si="50"/>
        <v>0</v>
      </c>
      <c r="N44" s="39">
        <f t="shared" si="50"/>
        <v>0</v>
      </c>
      <c r="O44" s="39">
        <f t="shared" si="50"/>
        <v>0</v>
      </c>
      <c r="P44" s="39">
        <f t="shared" si="50"/>
        <v>0</v>
      </c>
      <c r="Q44" s="39">
        <f t="shared" si="50"/>
        <v>0</v>
      </c>
      <c r="R44" s="39">
        <f t="shared" si="50"/>
        <v>0</v>
      </c>
      <c r="S44" s="39">
        <f t="shared" si="50"/>
        <v>0</v>
      </c>
      <c r="T44" s="39">
        <f t="shared" si="50"/>
        <v>0</v>
      </c>
      <c r="U44" s="39">
        <f t="shared" si="50"/>
        <v>0</v>
      </c>
      <c r="V44" s="39">
        <f t="shared" si="50"/>
        <v>0</v>
      </c>
      <c r="W44" s="39">
        <f t="shared" si="50"/>
        <v>0</v>
      </c>
      <c r="X44" s="39">
        <f t="shared" si="50"/>
        <v>0</v>
      </c>
      <c r="Y44" s="39">
        <f t="shared" si="50"/>
        <v>0</v>
      </c>
      <c r="Z44" s="39">
        <f t="shared" si="50"/>
        <v>0</v>
      </c>
      <c r="AB44" s="37"/>
      <c r="AC44" s="37"/>
      <c r="AD44" s="37"/>
    </row>
    <row r="45" spans="1:30" x14ac:dyDescent="0.2">
      <c r="A45" s="252"/>
      <c r="B45" s="254"/>
      <c r="C45" s="44" t="s">
        <v>161</v>
      </c>
      <c r="D45" s="39">
        <f>fuel_type4_today+fuel_type4_1.0</f>
        <v>0</v>
      </c>
      <c r="E45" s="39">
        <f>D45*(1+increase_med)</f>
        <v>0</v>
      </c>
      <c r="F45" s="39">
        <f t="shared" ref="F45:Z45" si="51">E45*(1+increase_med)</f>
        <v>0</v>
      </c>
      <c r="G45" s="39">
        <f t="shared" si="51"/>
        <v>0</v>
      </c>
      <c r="H45" s="39">
        <f t="shared" si="51"/>
        <v>0</v>
      </c>
      <c r="I45" s="39">
        <f t="shared" si="51"/>
        <v>0</v>
      </c>
      <c r="J45" s="39">
        <f t="shared" si="51"/>
        <v>0</v>
      </c>
      <c r="K45" s="39">
        <f t="shared" si="51"/>
        <v>0</v>
      </c>
      <c r="L45" s="39">
        <f t="shared" si="51"/>
        <v>0</v>
      </c>
      <c r="M45" s="39">
        <f t="shared" si="51"/>
        <v>0</v>
      </c>
      <c r="N45" s="39">
        <f t="shared" si="51"/>
        <v>0</v>
      </c>
      <c r="O45" s="39">
        <f t="shared" si="51"/>
        <v>0</v>
      </c>
      <c r="P45" s="39">
        <f t="shared" si="51"/>
        <v>0</v>
      </c>
      <c r="Q45" s="39">
        <f t="shared" si="51"/>
        <v>0</v>
      </c>
      <c r="R45" s="39">
        <f t="shared" si="51"/>
        <v>0</v>
      </c>
      <c r="S45" s="39">
        <f t="shared" si="51"/>
        <v>0</v>
      </c>
      <c r="T45" s="39">
        <f t="shared" si="51"/>
        <v>0</v>
      </c>
      <c r="U45" s="39">
        <f t="shared" si="51"/>
        <v>0</v>
      </c>
      <c r="V45" s="39">
        <f t="shared" si="51"/>
        <v>0</v>
      </c>
      <c r="W45" s="39">
        <f t="shared" si="51"/>
        <v>0</v>
      </c>
      <c r="X45" s="39">
        <f t="shared" si="51"/>
        <v>0</v>
      </c>
      <c r="Y45" s="39">
        <f t="shared" si="51"/>
        <v>0</v>
      </c>
      <c r="Z45" s="39">
        <f t="shared" si="51"/>
        <v>0</v>
      </c>
      <c r="AB45" s="37"/>
      <c r="AC45" s="37"/>
      <c r="AD45" s="37"/>
    </row>
    <row r="46" spans="1:30" x14ac:dyDescent="0.2">
      <c r="A46" s="252"/>
      <c r="B46" s="254"/>
      <c r="C46" s="44" t="s">
        <v>162</v>
      </c>
      <c r="D46" s="39">
        <f>fuel_type4_today+fuel_type4_0.5</f>
        <v>0</v>
      </c>
      <c r="E46" s="39">
        <f>D46*(1+increase_med)</f>
        <v>0</v>
      </c>
      <c r="F46" s="39">
        <f>E46*(1+increase_med)*(1+diff_2015_med)</f>
        <v>0</v>
      </c>
      <c r="G46" s="39">
        <f t="shared" ref="G46:J47" si="52">F46*(1+increase_med)</f>
        <v>0</v>
      </c>
      <c r="H46" s="39">
        <f t="shared" si="52"/>
        <v>0</v>
      </c>
      <c r="I46" s="39">
        <f t="shared" si="52"/>
        <v>0</v>
      </c>
      <c r="J46" s="39">
        <f t="shared" si="52"/>
        <v>0</v>
      </c>
      <c r="K46" s="39">
        <f>J46*(1+increase_med)*IF(K$2=global0.5,(1+diff_2020_med),1)</f>
        <v>0</v>
      </c>
      <c r="L46" s="39">
        <f t="shared" ref="L46:Z46" si="53">K46*(1+increase_med)</f>
        <v>0</v>
      </c>
      <c r="M46" s="39">
        <f t="shared" si="53"/>
        <v>0</v>
      </c>
      <c r="N46" s="39">
        <f t="shared" si="53"/>
        <v>0</v>
      </c>
      <c r="O46" s="39">
        <f t="shared" si="53"/>
        <v>0</v>
      </c>
      <c r="P46" s="39">
        <f>O46*(1+increase_med)*IF(P$2=global0.5,(1+diff_2020_med),1)</f>
        <v>0</v>
      </c>
      <c r="Q46" s="39">
        <f t="shared" si="53"/>
        <v>0</v>
      </c>
      <c r="R46" s="39">
        <f t="shared" si="53"/>
        <v>0</v>
      </c>
      <c r="S46" s="39">
        <f t="shared" si="53"/>
        <v>0</v>
      </c>
      <c r="T46" s="39">
        <f t="shared" si="53"/>
        <v>0</v>
      </c>
      <c r="U46" s="39">
        <f t="shared" si="53"/>
        <v>0</v>
      </c>
      <c r="V46" s="39">
        <f t="shared" si="53"/>
        <v>0</v>
      </c>
      <c r="W46" s="39">
        <f t="shared" si="53"/>
        <v>0</v>
      </c>
      <c r="X46" s="39">
        <f t="shared" si="53"/>
        <v>0</v>
      </c>
      <c r="Y46" s="39">
        <f t="shared" si="53"/>
        <v>0</v>
      </c>
      <c r="Z46" s="39">
        <f t="shared" si="53"/>
        <v>0</v>
      </c>
      <c r="AB46" s="37"/>
      <c r="AC46" s="37"/>
      <c r="AD46" s="37"/>
    </row>
    <row r="47" spans="1:30" x14ac:dyDescent="0.2">
      <c r="A47" s="253"/>
      <c r="B47" s="254"/>
      <c r="C47" s="44" t="s">
        <v>163</v>
      </c>
      <c r="D47" s="39">
        <f>fuel_type4_today+fuel_type4_0.1</f>
        <v>0</v>
      </c>
      <c r="E47" s="39">
        <f>D47*(1+increase_med)</f>
        <v>0</v>
      </c>
      <c r="F47" s="39">
        <f>E47*(1+increase_med)*(1+diff_2015_med)</f>
        <v>0</v>
      </c>
      <c r="G47" s="39">
        <f t="shared" si="52"/>
        <v>0</v>
      </c>
      <c r="H47" s="39">
        <f t="shared" si="52"/>
        <v>0</v>
      </c>
      <c r="I47" s="39">
        <f t="shared" si="52"/>
        <v>0</v>
      </c>
      <c r="J47" s="39">
        <f t="shared" si="52"/>
        <v>0</v>
      </c>
      <c r="K47" s="39">
        <f>J47*(1+increase_med)*IF(K$2=global0.5,(1+diff_2020_med),1)</f>
        <v>0</v>
      </c>
      <c r="L47" s="39">
        <f t="shared" ref="L47:Z47" si="54">K47*(1+increase_med)</f>
        <v>0</v>
      </c>
      <c r="M47" s="39">
        <f t="shared" si="54"/>
        <v>0</v>
      </c>
      <c r="N47" s="39">
        <f t="shared" si="54"/>
        <v>0</v>
      </c>
      <c r="O47" s="39">
        <f t="shared" si="54"/>
        <v>0</v>
      </c>
      <c r="P47" s="39">
        <f>O47*(1+increase_med)*IF(P$2=global0.5,(1+diff_2020_med),1)</f>
        <v>0</v>
      </c>
      <c r="Q47" s="39">
        <f t="shared" si="54"/>
        <v>0</v>
      </c>
      <c r="R47" s="39">
        <f t="shared" si="54"/>
        <v>0</v>
      </c>
      <c r="S47" s="39">
        <f t="shared" si="54"/>
        <v>0</v>
      </c>
      <c r="T47" s="39">
        <f t="shared" si="54"/>
        <v>0</v>
      </c>
      <c r="U47" s="39">
        <f t="shared" si="54"/>
        <v>0</v>
      </c>
      <c r="V47" s="39">
        <f t="shared" si="54"/>
        <v>0</v>
      </c>
      <c r="W47" s="39">
        <f t="shared" si="54"/>
        <v>0</v>
      </c>
      <c r="X47" s="39">
        <f t="shared" si="54"/>
        <v>0</v>
      </c>
      <c r="Y47" s="39">
        <f t="shared" si="54"/>
        <v>0</v>
      </c>
      <c r="Z47" s="39">
        <f t="shared" si="54"/>
        <v>0</v>
      </c>
      <c r="AB47" s="37"/>
      <c r="AC47" s="37"/>
      <c r="AD47" s="37"/>
    </row>
    <row r="48" spans="1:30" ht="12.75" customHeight="1" x14ac:dyDescent="0.2">
      <c r="A48" s="251" t="str">
        <f>fuel_type4&amp; " High Scenario"</f>
        <v xml:space="preserve"> High Scenario</v>
      </c>
      <c r="B48" s="254"/>
      <c r="C48" s="44" t="s">
        <v>164</v>
      </c>
      <c r="D48" s="40">
        <f>fuel_type4_today</f>
        <v>0</v>
      </c>
      <c r="E48" s="40">
        <f>D48*(1+increase_hi)</f>
        <v>0</v>
      </c>
      <c r="F48" s="40">
        <f t="shared" ref="F48:Z48" si="55">E48*(1+increase_hi)</f>
        <v>0</v>
      </c>
      <c r="G48" s="40">
        <f t="shared" si="55"/>
        <v>0</v>
      </c>
      <c r="H48" s="40">
        <f t="shared" si="55"/>
        <v>0</v>
      </c>
      <c r="I48" s="40">
        <f t="shared" si="55"/>
        <v>0</v>
      </c>
      <c r="J48" s="40">
        <f t="shared" si="55"/>
        <v>0</v>
      </c>
      <c r="K48" s="40">
        <f t="shared" si="55"/>
        <v>0</v>
      </c>
      <c r="L48" s="40">
        <f t="shared" si="55"/>
        <v>0</v>
      </c>
      <c r="M48" s="40">
        <f t="shared" si="55"/>
        <v>0</v>
      </c>
      <c r="N48" s="40">
        <f t="shared" si="55"/>
        <v>0</v>
      </c>
      <c r="O48" s="40">
        <f t="shared" si="55"/>
        <v>0</v>
      </c>
      <c r="P48" s="40">
        <f t="shared" si="55"/>
        <v>0</v>
      </c>
      <c r="Q48" s="40">
        <f t="shared" si="55"/>
        <v>0</v>
      </c>
      <c r="R48" s="40">
        <f t="shared" si="55"/>
        <v>0</v>
      </c>
      <c r="S48" s="40">
        <f t="shared" si="55"/>
        <v>0</v>
      </c>
      <c r="T48" s="40">
        <f t="shared" si="55"/>
        <v>0</v>
      </c>
      <c r="U48" s="40">
        <f t="shared" si="55"/>
        <v>0</v>
      </c>
      <c r="V48" s="40">
        <f t="shared" si="55"/>
        <v>0</v>
      </c>
      <c r="W48" s="40">
        <f t="shared" si="55"/>
        <v>0</v>
      </c>
      <c r="X48" s="40">
        <f t="shared" si="55"/>
        <v>0</v>
      </c>
      <c r="Y48" s="40">
        <f t="shared" si="55"/>
        <v>0</v>
      </c>
      <c r="Z48" s="40">
        <f t="shared" si="55"/>
        <v>0</v>
      </c>
      <c r="AB48" s="37"/>
      <c r="AC48" s="37"/>
      <c r="AD48" s="37"/>
    </row>
    <row r="49" spans="1:30" x14ac:dyDescent="0.2">
      <c r="A49" s="252"/>
      <c r="B49" s="254"/>
      <c r="C49" s="44" t="s">
        <v>161</v>
      </c>
      <c r="D49" s="40">
        <f>fuel_type4_today+fuel_type4_1.0</f>
        <v>0</v>
      </c>
      <c r="E49" s="40">
        <f>D49*(1+increase_hi)</f>
        <v>0</v>
      </c>
      <c r="F49" s="40">
        <f t="shared" ref="F49:Z49" si="56">E49*(1+increase_hi)</f>
        <v>0</v>
      </c>
      <c r="G49" s="40">
        <f t="shared" si="56"/>
        <v>0</v>
      </c>
      <c r="H49" s="40">
        <f t="shared" si="56"/>
        <v>0</v>
      </c>
      <c r="I49" s="40">
        <f t="shared" si="56"/>
        <v>0</v>
      </c>
      <c r="J49" s="40">
        <f t="shared" si="56"/>
        <v>0</v>
      </c>
      <c r="K49" s="40">
        <f t="shared" si="56"/>
        <v>0</v>
      </c>
      <c r="L49" s="40">
        <f t="shared" si="56"/>
        <v>0</v>
      </c>
      <c r="M49" s="40">
        <f t="shared" si="56"/>
        <v>0</v>
      </c>
      <c r="N49" s="40">
        <f t="shared" si="56"/>
        <v>0</v>
      </c>
      <c r="O49" s="40">
        <f t="shared" si="56"/>
        <v>0</v>
      </c>
      <c r="P49" s="40">
        <f t="shared" si="56"/>
        <v>0</v>
      </c>
      <c r="Q49" s="40">
        <f t="shared" si="56"/>
        <v>0</v>
      </c>
      <c r="R49" s="40">
        <f t="shared" si="56"/>
        <v>0</v>
      </c>
      <c r="S49" s="40">
        <f t="shared" si="56"/>
        <v>0</v>
      </c>
      <c r="T49" s="40">
        <f t="shared" si="56"/>
        <v>0</v>
      </c>
      <c r="U49" s="40">
        <f t="shared" si="56"/>
        <v>0</v>
      </c>
      <c r="V49" s="40">
        <f t="shared" si="56"/>
        <v>0</v>
      </c>
      <c r="W49" s="40">
        <f t="shared" si="56"/>
        <v>0</v>
      </c>
      <c r="X49" s="40">
        <f t="shared" si="56"/>
        <v>0</v>
      </c>
      <c r="Y49" s="40">
        <f t="shared" si="56"/>
        <v>0</v>
      </c>
      <c r="Z49" s="40">
        <f t="shared" si="56"/>
        <v>0</v>
      </c>
      <c r="AB49" s="37"/>
      <c r="AC49" s="37"/>
      <c r="AD49" s="37"/>
    </row>
    <row r="50" spans="1:30" x14ac:dyDescent="0.2">
      <c r="A50" s="252"/>
      <c r="B50" s="254"/>
      <c r="C50" s="44" t="s">
        <v>162</v>
      </c>
      <c r="D50" s="40">
        <f>fuel_type4_today+fuel_type4_0.5</f>
        <v>0</v>
      </c>
      <c r="E50" s="40">
        <f>D50*(1+increase_hi)</f>
        <v>0</v>
      </c>
      <c r="F50" s="40">
        <f>E50*(1+increase_hi)*(1+diff_2015_hi)</f>
        <v>0</v>
      </c>
      <c r="G50" s="40">
        <f t="shared" ref="G50:J51" si="57">F50*(1+increase_hi)</f>
        <v>0</v>
      </c>
      <c r="H50" s="40">
        <f t="shared" si="57"/>
        <v>0</v>
      </c>
      <c r="I50" s="40">
        <f t="shared" si="57"/>
        <v>0</v>
      </c>
      <c r="J50" s="40">
        <f t="shared" si="57"/>
        <v>0</v>
      </c>
      <c r="K50" s="40">
        <f>J50*(1+increase_hi)*IF(K$2=global0.5,(1+diff_2020_hi),1)</f>
        <v>0</v>
      </c>
      <c r="L50" s="40">
        <f t="shared" ref="L50:Z50" si="58">K50*(1+increase_hi)</f>
        <v>0</v>
      </c>
      <c r="M50" s="40">
        <f t="shared" si="58"/>
        <v>0</v>
      </c>
      <c r="N50" s="40">
        <f t="shared" si="58"/>
        <v>0</v>
      </c>
      <c r="O50" s="40">
        <f t="shared" si="58"/>
        <v>0</v>
      </c>
      <c r="P50" s="40">
        <f>O50*(1+increase_hi)*IF(P$2=global0.5,(1+diff_2020_hi),1)</f>
        <v>0</v>
      </c>
      <c r="Q50" s="40">
        <f t="shared" si="58"/>
        <v>0</v>
      </c>
      <c r="R50" s="40">
        <f t="shared" si="58"/>
        <v>0</v>
      </c>
      <c r="S50" s="40">
        <f t="shared" si="58"/>
        <v>0</v>
      </c>
      <c r="T50" s="40">
        <f t="shared" si="58"/>
        <v>0</v>
      </c>
      <c r="U50" s="40">
        <f t="shared" si="58"/>
        <v>0</v>
      </c>
      <c r="V50" s="40">
        <f t="shared" si="58"/>
        <v>0</v>
      </c>
      <c r="W50" s="40">
        <f t="shared" si="58"/>
        <v>0</v>
      </c>
      <c r="X50" s="40">
        <f t="shared" si="58"/>
        <v>0</v>
      </c>
      <c r="Y50" s="40">
        <f t="shared" si="58"/>
        <v>0</v>
      </c>
      <c r="Z50" s="40">
        <f t="shared" si="58"/>
        <v>0</v>
      </c>
      <c r="AB50" s="37"/>
      <c r="AC50" s="37"/>
      <c r="AD50" s="37"/>
    </row>
    <row r="51" spans="1:30" x14ac:dyDescent="0.2">
      <c r="A51" s="253"/>
      <c r="B51" s="254"/>
      <c r="C51" s="44" t="s">
        <v>163</v>
      </c>
      <c r="D51" s="40">
        <f>fuel_type4_today+fuel_type4_0.1</f>
        <v>0</v>
      </c>
      <c r="E51" s="40">
        <f>D51*(1+increase_hi)</f>
        <v>0</v>
      </c>
      <c r="F51" s="40">
        <f>E51*(1+increase_hi)*(1+diff_2015_hi)</f>
        <v>0</v>
      </c>
      <c r="G51" s="40">
        <f t="shared" si="57"/>
        <v>0</v>
      </c>
      <c r="H51" s="40">
        <f t="shared" si="57"/>
        <v>0</v>
      </c>
      <c r="I51" s="40">
        <f t="shared" si="57"/>
        <v>0</v>
      </c>
      <c r="J51" s="40">
        <f t="shared" si="57"/>
        <v>0</v>
      </c>
      <c r="K51" s="40">
        <f>J51*(1+increase_hi)*IF(K$2=global0.5,(1+diff_2020_hi),1)</f>
        <v>0</v>
      </c>
      <c r="L51" s="40">
        <f t="shared" ref="L51:Z51" si="59">K51*(1+increase_hi)</f>
        <v>0</v>
      </c>
      <c r="M51" s="40">
        <f t="shared" si="59"/>
        <v>0</v>
      </c>
      <c r="N51" s="40">
        <f t="shared" si="59"/>
        <v>0</v>
      </c>
      <c r="O51" s="40">
        <f t="shared" si="59"/>
        <v>0</v>
      </c>
      <c r="P51" s="40">
        <f>O51*(1+increase_hi)*IF(P$2=global0.5,(1+diff_2020_hi),1)</f>
        <v>0</v>
      </c>
      <c r="Q51" s="40">
        <f t="shared" si="59"/>
        <v>0</v>
      </c>
      <c r="R51" s="40">
        <f t="shared" si="59"/>
        <v>0</v>
      </c>
      <c r="S51" s="40">
        <f t="shared" si="59"/>
        <v>0</v>
      </c>
      <c r="T51" s="40">
        <f t="shared" si="59"/>
        <v>0</v>
      </c>
      <c r="U51" s="40">
        <f t="shared" si="59"/>
        <v>0</v>
      </c>
      <c r="V51" s="40">
        <f t="shared" si="59"/>
        <v>0</v>
      </c>
      <c r="W51" s="40">
        <f t="shared" si="59"/>
        <v>0</v>
      </c>
      <c r="X51" s="40">
        <f t="shared" si="59"/>
        <v>0</v>
      </c>
      <c r="Y51" s="40">
        <f t="shared" si="59"/>
        <v>0</v>
      </c>
      <c r="Z51" s="40">
        <f t="shared" si="59"/>
        <v>0</v>
      </c>
      <c r="AB51" s="37"/>
      <c r="AC51" s="37"/>
      <c r="AD51" s="37"/>
    </row>
    <row r="52" spans="1:30" ht="12.75" customHeight="1" x14ac:dyDescent="0.2">
      <c r="A52" s="245" t="s">
        <v>174</v>
      </c>
      <c r="B52" s="245" t="str">
        <f>fuel_type_plot&amp; " and "&amp;fuel_scenario_plot&amp; " scenario"</f>
        <v>MDO(DMB) and High scenario</v>
      </c>
      <c r="C52" s="45" t="s">
        <v>170</v>
      </c>
      <c r="D52" s="46" t="str">
        <f t="shared" ref="D52:Z52" si="60">IF(fuel_scenario_plot="Low",IF(fuel_type_plot=fuel_type1,D4,IF(fuel_type_plot=fuel_type2,D16,IF(fuel_type_plot=fuel_type3,D28,IF(fuel_type_plot=fuel_type4,D40,"error")))),IF(fuel_scenario_plot="Medium",IF(fuel_type_plot=fuel_type1,D8,IF(fuel_type_plot=fuel_type2,D20,IF(fuel_type_plot=fuel_type3,D32,IF(fuel_type_plot=fuel_type4,D44,"error")))),IF(fuel_scenario_plot="High",IF(fuel_type_plot=fuel_type1,D12,IF(fuel_type_plot=fuel_type2,D24,IF(fuel_type_plot=fuel_type3,D36,IF(fuel_type_plot=fuel_type4,D48,"error")))),"error")))</f>
        <v>error</v>
      </c>
      <c r="E52" s="46" t="str">
        <f t="shared" si="60"/>
        <v>error</v>
      </c>
      <c r="F52" s="46" t="str">
        <f t="shared" si="60"/>
        <v>error</v>
      </c>
      <c r="G52" s="46" t="str">
        <f t="shared" si="60"/>
        <v>error</v>
      </c>
      <c r="H52" s="46" t="str">
        <f t="shared" si="60"/>
        <v>error</v>
      </c>
      <c r="I52" s="46" t="str">
        <f t="shared" si="60"/>
        <v>error</v>
      </c>
      <c r="J52" s="46" t="str">
        <f t="shared" si="60"/>
        <v>error</v>
      </c>
      <c r="K52" s="46" t="str">
        <f t="shared" si="60"/>
        <v>error</v>
      </c>
      <c r="L52" s="46" t="str">
        <f t="shared" si="60"/>
        <v>error</v>
      </c>
      <c r="M52" s="46" t="str">
        <f t="shared" si="60"/>
        <v>error</v>
      </c>
      <c r="N52" s="46" t="str">
        <f t="shared" si="60"/>
        <v>error</v>
      </c>
      <c r="O52" s="46" t="str">
        <f t="shared" si="60"/>
        <v>error</v>
      </c>
      <c r="P52" s="46" t="str">
        <f t="shared" si="60"/>
        <v>error</v>
      </c>
      <c r="Q52" s="46" t="str">
        <f t="shared" si="60"/>
        <v>error</v>
      </c>
      <c r="R52" s="46" t="str">
        <f t="shared" si="60"/>
        <v>error</v>
      </c>
      <c r="S52" s="46" t="str">
        <f t="shared" si="60"/>
        <v>error</v>
      </c>
      <c r="T52" s="46" t="str">
        <f t="shared" si="60"/>
        <v>error</v>
      </c>
      <c r="U52" s="46" t="str">
        <f t="shared" si="60"/>
        <v>error</v>
      </c>
      <c r="V52" s="46" t="str">
        <f t="shared" si="60"/>
        <v>error</v>
      </c>
      <c r="W52" s="46" t="str">
        <f t="shared" si="60"/>
        <v>error</v>
      </c>
      <c r="X52" s="46" t="str">
        <f t="shared" si="60"/>
        <v>error</v>
      </c>
      <c r="Y52" s="46" t="str">
        <f t="shared" si="60"/>
        <v>error</v>
      </c>
      <c r="Z52" s="46" t="str">
        <f t="shared" si="60"/>
        <v>error</v>
      </c>
      <c r="AB52" s="37"/>
      <c r="AC52" s="37"/>
      <c r="AD52" s="37"/>
    </row>
    <row r="53" spans="1:30" x14ac:dyDescent="0.2">
      <c r="A53" s="246"/>
      <c r="B53" s="246"/>
      <c r="C53" s="45" t="s">
        <v>171</v>
      </c>
      <c r="D53" s="46" t="str">
        <f t="shared" ref="D53:Z53" si="61">IF(fuel_scenario_plot="Low",IF(fuel_type_plot=fuel_type1,D5,IF(fuel_type_plot=fuel_type2,D17,IF(fuel_type_plot=fuel_type3,D29,IF(fuel_type_plot=fuel_type4,D41,"error")))),IF(fuel_scenario_plot="Medium",IF(fuel_type_plot=fuel_type1,D9,IF(fuel_type_plot=fuel_type2,D21,IF(fuel_type_plot=fuel_type3,D33,IF(fuel_type_plot=fuel_type4,D45,"error")))),IF(fuel_scenario_plot="High",IF(fuel_type_plot=fuel_type1,D13,IF(fuel_type_plot=fuel_type2,D25,IF(fuel_type_plot=fuel_type3,D37,IF(fuel_type_plot=fuel_type4,D49,"error")))),"error")))</f>
        <v>error</v>
      </c>
      <c r="E53" s="46" t="str">
        <f t="shared" si="61"/>
        <v>error</v>
      </c>
      <c r="F53" s="46" t="str">
        <f t="shared" si="61"/>
        <v>error</v>
      </c>
      <c r="G53" s="46" t="str">
        <f t="shared" si="61"/>
        <v>error</v>
      </c>
      <c r="H53" s="46" t="str">
        <f t="shared" si="61"/>
        <v>error</v>
      </c>
      <c r="I53" s="46" t="str">
        <f t="shared" si="61"/>
        <v>error</v>
      </c>
      <c r="J53" s="46" t="str">
        <f t="shared" si="61"/>
        <v>error</v>
      </c>
      <c r="K53" s="46" t="str">
        <f t="shared" si="61"/>
        <v>error</v>
      </c>
      <c r="L53" s="46" t="str">
        <f t="shared" si="61"/>
        <v>error</v>
      </c>
      <c r="M53" s="46" t="str">
        <f t="shared" si="61"/>
        <v>error</v>
      </c>
      <c r="N53" s="46" t="str">
        <f t="shared" si="61"/>
        <v>error</v>
      </c>
      <c r="O53" s="46" t="str">
        <f t="shared" si="61"/>
        <v>error</v>
      </c>
      <c r="P53" s="46" t="str">
        <f t="shared" si="61"/>
        <v>error</v>
      </c>
      <c r="Q53" s="46" t="str">
        <f t="shared" si="61"/>
        <v>error</v>
      </c>
      <c r="R53" s="46" t="str">
        <f t="shared" si="61"/>
        <v>error</v>
      </c>
      <c r="S53" s="46" t="str">
        <f t="shared" si="61"/>
        <v>error</v>
      </c>
      <c r="T53" s="46" t="str">
        <f t="shared" si="61"/>
        <v>error</v>
      </c>
      <c r="U53" s="46" t="str">
        <f t="shared" si="61"/>
        <v>error</v>
      </c>
      <c r="V53" s="46" t="str">
        <f t="shared" si="61"/>
        <v>error</v>
      </c>
      <c r="W53" s="46" t="str">
        <f t="shared" si="61"/>
        <v>error</v>
      </c>
      <c r="X53" s="46" t="str">
        <f t="shared" si="61"/>
        <v>error</v>
      </c>
      <c r="Y53" s="46" t="str">
        <f t="shared" si="61"/>
        <v>error</v>
      </c>
      <c r="Z53" s="46" t="str">
        <f t="shared" si="61"/>
        <v>error</v>
      </c>
      <c r="AB53" s="37"/>
      <c r="AC53" s="37"/>
      <c r="AD53" s="37"/>
    </row>
    <row r="54" spans="1:30" x14ac:dyDescent="0.2">
      <c r="A54" s="246"/>
      <c r="B54" s="246"/>
      <c r="C54" s="45" t="s">
        <v>172</v>
      </c>
      <c r="D54" s="46" t="str">
        <f t="shared" ref="D54:Z54" si="62">IF(fuel_scenario_plot="Low",IF(fuel_type_plot=fuel_type1,D6,IF(fuel_type_plot=fuel_type2,D18,IF(fuel_type_plot=fuel_type3,D30,IF(fuel_type_plot=fuel_type4,D42,"error")))),IF(fuel_scenario_plot="Medium",IF(fuel_type_plot=fuel_type1,D10,IF(fuel_type_plot=fuel_type2,D22,IF(fuel_type_plot=fuel_type3,D34,IF(fuel_type_plot=fuel_type4,D46,"error")))),IF(fuel_scenario_plot="High",IF(fuel_type_plot=fuel_type1,D14,IF(fuel_type_plot=fuel_type2,D26,IF(fuel_type_plot=fuel_type3,D38,IF(fuel_type_plot=fuel_type4,D50,"error")))),"error")))</f>
        <v>error</v>
      </c>
      <c r="E54" s="46" t="str">
        <f t="shared" si="62"/>
        <v>error</v>
      </c>
      <c r="F54" s="46" t="str">
        <f t="shared" si="62"/>
        <v>error</v>
      </c>
      <c r="G54" s="46" t="str">
        <f t="shared" si="62"/>
        <v>error</v>
      </c>
      <c r="H54" s="46" t="str">
        <f t="shared" si="62"/>
        <v>error</v>
      </c>
      <c r="I54" s="46" t="str">
        <f t="shared" si="62"/>
        <v>error</v>
      </c>
      <c r="J54" s="46" t="str">
        <f t="shared" si="62"/>
        <v>error</v>
      </c>
      <c r="K54" s="46" t="str">
        <f t="shared" si="62"/>
        <v>error</v>
      </c>
      <c r="L54" s="46" t="str">
        <f t="shared" si="62"/>
        <v>error</v>
      </c>
      <c r="M54" s="46" t="str">
        <f t="shared" si="62"/>
        <v>error</v>
      </c>
      <c r="N54" s="46" t="str">
        <f t="shared" si="62"/>
        <v>error</v>
      </c>
      <c r="O54" s="46" t="str">
        <f t="shared" si="62"/>
        <v>error</v>
      </c>
      <c r="P54" s="46" t="str">
        <f t="shared" si="62"/>
        <v>error</v>
      </c>
      <c r="Q54" s="46" t="str">
        <f t="shared" si="62"/>
        <v>error</v>
      </c>
      <c r="R54" s="46" t="str">
        <f t="shared" si="62"/>
        <v>error</v>
      </c>
      <c r="S54" s="46" t="str">
        <f t="shared" si="62"/>
        <v>error</v>
      </c>
      <c r="T54" s="46" t="str">
        <f t="shared" si="62"/>
        <v>error</v>
      </c>
      <c r="U54" s="46" t="str">
        <f t="shared" si="62"/>
        <v>error</v>
      </c>
      <c r="V54" s="46" t="str">
        <f t="shared" si="62"/>
        <v>error</v>
      </c>
      <c r="W54" s="46" t="str">
        <f t="shared" si="62"/>
        <v>error</v>
      </c>
      <c r="X54" s="46" t="str">
        <f t="shared" si="62"/>
        <v>error</v>
      </c>
      <c r="Y54" s="46" t="str">
        <f t="shared" si="62"/>
        <v>error</v>
      </c>
      <c r="Z54" s="46" t="str">
        <f t="shared" si="62"/>
        <v>error</v>
      </c>
      <c r="AB54" s="37"/>
      <c r="AC54" s="37"/>
      <c r="AD54" s="37"/>
    </row>
    <row r="55" spans="1:30" x14ac:dyDescent="0.2">
      <c r="A55" s="247"/>
      <c r="B55" s="247"/>
      <c r="C55" s="45" t="s">
        <v>173</v>
      </c>
      <c r="D55" s="46" t="str">
        <f t="shared" ref="D55:Z55" si="63">IF(fuel_scenario_plot="Low",IF(fuel_type_plot=fuel_type1,D7,IF(fuel_type_plot=fuel_type2,D19,IF(fuel_type_plot=fuel_type3,D31,IF(fuel_type_plot=fuel_type4,D43,"error")))),IF(fuel_scenario_plot="Medium",IF(fuel_type_plot=fuel_type1,D11,IF(fuel_type_plot=fuel_type2,D23,IF(fuel_type_plot=fuel_type3,D35,IF(fuel_type_plot=fuel_type4,D47,"error")))),IF(fuel_scenario_plot="High",IF(fuel_type_plot=fuel_type1,D15,IF(fuel_type_plot=fuel_type2,D27,IF(fuel_type_plot=fuel_type3,D39,IF(fuel_type_plot=fuel_type4,D51,"error")))),"error")))</f>
        <v>error</v>
      </c>
      <c r="E55" s="46" t="str">
        <f t="shared" si="63"/>
        <v>error</v>
      </c>
      <c r="F55" s="46" t="str">
        <f t="shared" si="63"/>
        <v>error</v>
      </c>
      <c r="G55" s="46" t="str">
        <f t="shared" si="63"/>
        <v>error</v>
      </c>
      <c r="H55" s="46" t="str">
        <f t="shared" si="63"/>
        <v>error</v>
      </c>
      <c r="I55" s="46" t="str">
        <f t="shared" si="63"/>
        <v>error</v>
      </c>
      <c r="J55" s="46" t="str">
        <f t="shared" si="63"/>
        <v>error</v>
      </c>
      <c r="K55" s="46" t="str">
        <f t="shared" si="63"/>
        <v>error</v>
      </c>
      <c r="L55" s="46" t="str">
        <f t="shared" si="63"/>
        <v>error</v>
      </c>
      <c r="M55" s="46" t="str">
        <f t="shared" si="63"/>
        <v>error</v>
      </c>
      <c r="N55" s="46" t="str">
        <f t="shared" si="63"/>
        <v>error</v>
      </c>
      <c r="O55" s="46" t="str">
        <f t="shared" si="63"/>
        <v>error</v>
      </c>
      <c r="P55" s="46" t="str">
        <f t="shared" si="63"/>
        <v>error</v>
      </c>
      <c r="Q55" s="46" t="str">
        <f t="shared" si="63"/>
        <v>error</v>
      </c>
      <c r="R55" s="46" t="str">
        <f t="shared" si="63"/>
        <v>error</v>
      </c>
      <c r="S55" s="46" t="str">
        <f t="shared" si="63"/>
        <v>error</v>
      </c>
      <c r="T55" s="46" t="str">
        <f t="shared" si="63"/>
        <v>error</v>
      </c>
      <c r="U55" s="46" t="str">
        <f t="shared" si="63"/>
        <v>error</v>
      </c>
      <c r="V55" s="46" t="str">
        <f t="shared" si="63"/>
        <v>error</v>
      </c>
      <c r="W55" s="46" t="str">
        <f t="shared" si="63"/>
        <v>error</v>
      </c>
      <c r="X55" s="46" t="str">
        <f t="shared" si="63"/>
        <v>error</v>
      </c>
      <c r="Y55" s="46" t="str">
        <f t="shared" si="63"/>
        <v>error</v>
      </c>
      <c r="Z55" s="46" t="str">
        <f t="shared" si="63"/>
        <v>error</v>
      </c>
      <c r="AB55" s="37"/>
      <c r="AC55" s="37"/>
      <c r="AD55" s="37"/>
    </row>
    <row r="56" spans="1:30" x14ac:dyDescent="0.2">
      <c r="A56" s="250" t="s">
        <v>3</v>
      </c>
      <c r="B56" s="250" t="s">
        <v>3</v>
      </c>
      <c r="C56" s="33" t="s">
        <v>0</v>
      </c>
      <c r="D56" s="47">
        <v>1</v>
      </c>
      <c r="E56" s="47">
        <v>1</v>
      </c>
      <c r="F56" s="47">
        <v>0.1</v>
      </c>
      <c r="G56" s="47">
        <v>0.1</v>
      </c>
      <c r="H56" s="47">
        <v>0.1</v>
      </c>
      <c r="I56" s="47">
        <v>0.1</v>
      </c>
      <c r="J56" s="47">
        <v>0.1</v>
      </c>
      <c r="K56" s="47">
        <v>0.1</v>
      </c>
      <c r="L56" s="47">
        <v>0.1</v>
      </c>
      <c r="M56" s="47">
        <v>0.1</v>
      </c>
      <c r="N56" s="47">
        <v>0.1</v>
      </c>
      <c r="O56" s="47">
        <v>0.1</v>
      </c>
      <c r="P56" s="47">
        <v>0.1</v>
      </c>
      <c r="Q56" s="47">
        <v>0.1</v>
      </c>
      <c r="R56" s="47">
        <v>0.1</v>
      </c>
      <c r="S56" s="47">
        <v>0.1</v>
      </c>
      <c r="T56" s="47">
        <v>0.1</v>
      </c>
      <c r="U56" s="47">
        <v>0.1</v>
      </c>
      <c r="V56" s="47">
        <v>0.1</v>
      </c>
      <c r="W56" s="47">
        <v>0.1</v>
      </c>
      <c r="X56" s="47">
        <v>0.1</v>
      </c>
      <c r="Y56" s="47">
        <v>0.1</v>
      </c>
      <c r="Z56" s="47">
        <v>0.1</v>
      </c>
      <c r="AB56" s="37"/>
      <c r="AC56" s="37"/>
      <c r="AD56" s="37"/>
    </row>
    <row r="57" spans="1:30" x14ac:dyDescent="0.2">
      <c r="A57" s="250"/>
      <c r="B57" s="250"/>
      <c r="C57" s="33" t="s">
        <v>1</v>
      </c>
      <c r="D57" s="47">
        <v>3.5</v>
      </c>
      <c r="E57" s="47">
        <v>3.5</v>
      </c>
      <c r="F57" s="47">
        <v>3.5</v>
      </c>
      <c r="G57" s="47">
        <v>3.5</v>
      </c>
      <c r="H57" s="47">
        <v>3.5</v>
      </c>
      <c r="I57" s="47">
        <v>3.5</v>
      </c>
      <c r="J57" s="47">
        <v>3.5</v>
      </c>
      <c r="K57" s="47">
        <v>0.5</v>
      </c>
      <c r="L57" s="47">
        <v>0.5</v>
      </c>
      <c r="M57" s="47">
        <v>0.5</v>
      </c>
      <c r="N57" s="47">
        <v>0.5</v>
      </c>
      <c r="O57" s="47">
        <v>0.5</v>
      </c>
      <c r="P57" s="47">
        <v>0.5</v>
      </c>
      <c r="Q57" s="47">
        <v>0.5</v>
      </c>
      <c r="R57" s="47">
        <v>0.5</v>
      </c>
      <c r="S57" s="47">
        <v>0.5</v>
      </c>
      <c r="T57" s="47">
        <v>0.5</v>
      </c>
      <c r="U57" s="47">
        <v>0.5</v>
      </c>
      <c r="V57" s="47">
        <v>0.5</v>
      </c>
      <c r="W57" s="47">
        <v>0.5</v>
      </c>
      <c r="X57" s="47">
        <v>0.5</v>
      </c>
      <c r="Y57" s="47">
        <v>0.5</v>
      </c>
      <c r="Z57" s="47">
        <v>0.5</v>
      </c>
      <c r="AB57" s="48"/>
      <c r="AC57" s="48"/>
      <c r="AD57" s="48"/>
    </row>
    <row r="58" spans="1:30" x14ac:dyDescent="0.2">
      <c r="A58" s="248" t="s">
        <v>10</v>
      </c>
      <c r="B58" s="248">
        <f>ship1</f>
        <v>0</v>
      </c>
      <c r="C58" s="49" t="s">
        <v>11</v>
      </c>
      <c r="D58" s="50">
        <f t="shared" ref="D58:Z58" si="64">ship1_timeECA</f>
        <v>0</v>
      </c>
      <c r="E58" s="50">
        <f t="shared" si="64"/>
        <v>0</v>
      </c>
      <c r="F58" s="50">
        <f t="shared" si="64"/>
        <v>0</v>
      </c>
      <c r="G58" s="50">
        <f t="shared" si="64"/>
        <v>0</v>
      </c>
      <c r="H58" s="50">
        <f t="shared" si="64"/>
        <v>0</v>
      </c>
      <c r="I58" s="50">
        <f t="shared" si="64"/>
        <v>0</v>
      </c>
      <c r="J58" s="50">
        <f t="shared" si="64"/>
        <v>0</v>
      </c>
      <c r="K58" s="50">
        <f t="shared" si="64"/>
        <v>0</v>
      </c>
      <c r="L58" s="50">
        <f t="shared" si="64"/>
        <v>0</v>
      </c>
      <c r="M58" s="50">
        <f t="shared" si="64"/>
        <v>0</v>
      </c>
      <c r="N58" s="50">
        <f t="shared" si="64"/>
        <v>0</v>
      </c>
      <c r="O58" s="50">
        <f t="shared" si="64"/>
        <v>0</v>
      </c>
      <c r="P58" s="50">
        <f t="shared" si="64"/>
        <v>0</v>
      </c>
      <c r="Q58" s="50">
        <f t="shared" si="64"/>
        <v>0</v>
      </c>
      <c r="R58" s="50">
        <f t="shared" si="64"/>
        <v>0</v>
      </c>
      <c r="S58" s="50">
        <f t="shared" si="64"/>
        <v>0</v>
      </c>
      <c r="T58" s="50">
        <f t="shared" si="64"/>
        <v>0</v>
      </c>
      <c r="U58" s="50">
        <f t="shared" si="64"/>
        <v>0</v>
      </c>
      <c r="V58" s="50">
        <f t="shared" si="64"/>
        <v>0</v>
      </c>
      <c r="W58" s="50">
        <f t="shared" si="64"/>
        <v>0</v>
      </c>
      <c r="X58" s="50">
        <f t="shared" si="64"/>
        <v>0</v>
      </c>
      <c r="Y58" s="50">
        <f t="shared" si="64"/>
        <v>0</v>
      </c>
      <c r="Z58" s="50">
        <f t="shared" si="64"/>
        <v>0</v>
      </c>
      <c r="AB58" s="48"/>
      <c r="AC58" s="48"/>
      <c r="AD58" s="48"/>
    </row>
    <row r="59" spans="1:30" x14ac:dyDescent="0.2">
      <c r="A59" s="248"/>
      <c r="B59" s="248"/>
      <c r="C59" s="30" t="s">
        <v>12</v>
      </c>
      <c r="D59" s="51">
        <f t="shared" ref="D59:Z59" si="65">1-ship1_timeECA</f>
        <v>1</v>
      </c>
      <c r="E59" s="51">
        <f t="shared" si="65"/>
        <v>1</v>
      </c>
      <c r="F59" s="51">
        <f t="shared" si="65"/>
        <v>1</v>
      </c>
      <c r="G59" s="51">
        <f t="shared" si="65"/>
        <v>1</v>
      </c>
      <c r="H59" s="51">
        <f t="shared" si="65"/>
        <v>1</v>
      </c>
      <c r="I59" s="51">
        <f t="shared" si="65"/>
        <v>1</v>
      </c>
      <c r="J59" s="51">
        <f t="shared" si="65"/>
        <v>1</v>
      </c>
      <c r="K59" s="51">
        <f t="shared" si="65"/>
        <v>1</v>
      </c>
      <c r="L59" s="51">
        <f t="shared" si="65"/>
        <v>1</v>
      </c>
      <c r="M59" s="51">
        <f t="shared" si="65"/>
        <v>1</v>
      </c>
      <c r="N59" s="51">
        <f t="shared" si="65"/>
        <v>1</v>
      </c>
      <c r="O59" s="51">
        <f t="shared" si="65"/>
        <v>1</v>
      </c>
      <c r="P59" s="51">
        <f t="shared" si="65"/>
        <v>1</v>
      </c>
      <c r="Q59" s="51">
        <f t="shared" si="65"/>
        <v>1</v>
      </c>
      <c r="R59" s="51">
        <f t="shared" si="65"/>
        <v>1</v>
      </c>
      <c r="S59" s="51">
        <f t="shared" si="65"/>
        <v>1</v>
      </c>
      <c r="T59" s="51">
        <f t="shared" si="65"/>
        <v>1</v>
      </c>
      <c r="U59" s="51">
        <f t="shared" si="65"/>
        <v>1</v>
      </c>
      <c r="V59" s="51">
        <f t="shared" si="65"/>
        <v>1</v>
      </c>
      <c r="W59" s="51">
        <f t="shared" si="65"/>
        <v>1</v>
      </c>
      <c r="X59" s="51">
        <f t="shared" si="65"/>
        <v>1</v>
      </c>
      <c r="Y59" s="51">
        <f t="shared" si="65"/>
        <v>1</v>
      </c>
      <c r="Z59" s="51">
        <f t="shared" si="65"/>
        <v>1</v>
      </c>
      <c r="AB59" s="48"/>
      <c r="AC59" s="48"/>
      <c r="AD59" s="48"/>
    </row>
    <row r="60" spans="1:30" x14ac:dyDescent="0.2">
      <c r="A60" s="248"/>
      <c r="B60" s="248" t="str">
        <f>IF(ship2="","N/A",ship2)</f>
        <v>N/A</v>
      </c>
      <c r="C60" s="49" t="s">
        <v>11</v>
      </c>
      <c r="D60" s="50">
        <f t="shared" ref="D60:Z60" si="66">ship2_timeECA</f>
        <v>0</v>
      </c>
      <c r="E60" s="50">
        <f t="shared" si="66"/>
        <v>0</v>
      </c>
      <c r="F60" s="50">
        <f t="shared" si="66"/>
        <v>0</v>
      </c>
      <c r="G60" s="50">
        <f t="shared" si="66"/>
        <v>0</v>
      </c>
      <c r="H60" s="50">
        <f t="shared" si="66"/>
        <v>0</v>
      </c>
      <c r="I60" s="50">
        <f t="shared" si="66"/>
        <v>0</v>
      </c>
      <c r="J60" s="50">
        <f t="shared" si="66"/>
        <v>0</v>
      </c>
      <c r="K60" s="50">
        <f t="shared" si="66"/>
        <v>0</v>
      </c>
      <c r="L60" s="50">
        <f t="shared" si="66"/>
        <v>0</v>
      </c>
      <c r="M60" s="50">
        <f t="shared" si="66"/>
        <v>0</v>
      </c>
      <c r="N60" s="50">
        <f t="shared" si="66"/>
        <v>0</v>
      </c>
      <c r="O60" s="50">
        <f t="shared" si="66"/>
        <v>0</v>
      </c>
      <c r="P60" s="50">
        <f t="shared" si="66"/>
        <v>0</v>
      </c>
      <c r="Q60" s="50">
        <f t="shared" si="66"/>
        <v>0</v>
      </c>
      <c r="R60" s="50">
        <f t="shared" si="66"/>
        <v>0</v>
      </c>
      <c r="S60" s="50">
        <f t="shared" si="66"/>
        <v>0</v>
      </c>
      <c r="T60" s="50">
        <f t="shared" si="66"/>
        <v>0</v>
      </c>
      <c r="U60" s="50">
        <f t="shared" si="66"/>
        <v>0</v>
      </c>
      <c r="V60" s="50">
        <f t="shared" si="66"/>
        <v>0</v>
      </c>
      <c r="W60" s="50">
        <f t="shared" si="66"/>
        <v>0</v>
      </c>
      <c r="X60" s="50">
        <f t="shared" si="66"/>
        <v>0</v>
      </c>
      <c r="Y60" s="50">
        <f t="shared" si="66"/>
        <v>0</v>
      </c>
      <c r="Z60" s="50">
        <f t="shared" si="66"/>
        <v>0</v>
      </c>
      <c r="AB60" s="48"/>
      <c r="AC60" s="48"/>
      <c r="AD60" s="48"/>
    </row>
    <row r="61" spans="1:30" x14ac:dyDescent="0.2">
      <c r="A61" s="248"/>
      <c r="B61" s="248"/>
      <c r="C61" s="30" t="s">
        <v>12</v>
      </c>
      <c r="D61" s="51">
        <f t="shared" ref="D61:Z61" si="67">1-ship2_timeECA</f>
        <v>1</v>
      </c>
      <c r="E61" s="51">
        <f t="shared" si="67"/>
        <v>1</v>
      </c>
      <c r="F61" s="51">
        <f t="shared" si="67"/>
        <v>1</v>
      </c>
      <c r="G61" s="51">
        <f t="shared" si="67"/>
        <v>1</v>
      </c>
      <c r="H61" s="51">
        <f t="shared" si="67"/>
        <v>1</v>
      </c>
      <c r="I61" s="51">
        <f t="shared" si="67"/>
        <v>1</v>
      </c>
      <c r="J61" s="51">
        <f t="shared" si="67"/>
        <v>1</v>
      </c>
      <c r="K61" s="51">
        <f t="shared" si="67"/>
        <v>1</v>
      </c>
      <c r="L61" s="51">
        <f t="shared" si="67"/>
        <v>1</v>
      </c>
      <c r="M61" s="51">
        <f t="shared" si="67"/>
        <v>1</v>
      </c>
      <c r="N61" s="51">
        <f t="shared" si="67"/>
        <v>1</v>
      </c>
      <c r="O61" s="51">
        <f t="shared" si="67"/>
        <v>1</v>
      </c>
      <c r="P61" s="51">
        <f t="shared" si="67"/>
        <v>1</v>
      </c>
      <c r="Q61" s="51">
        <f t="shared" si="67"/>
        <v>1</v>
      </c>
      <c r="R61" s="51">
        <f t="shared" si="67"/>
        <v>1</v>
      </c>
      <c r="S61" s="51">
        <f t="shared" si="67"/>
        <v>1</v>
      </c>
      <c r="T61" s="51">
        <f t="shared" si="67"/>
        <v>1</v>
      </c>
      <c r="U61" s="51">
        <f t="shared" si="67"/>
        <v>1</v>
      </c>
      <c r="V61" s="51">
        <f t="shared" si="67"/>
        <v>1</v>
      </c>
      <c r="W61" s="51">
        <f t="shared" si="67"/>
        <v>1</v>
      </c>
      <c r="X61" s="51">
        <f t="shared" si="67"/>
        <v>1</v>
      </c>
      <c r="Y61" s="51">
        <f t="shared" si="67"/>
        <v>1</v>
      </c>
      <c r="Z61" s="51">
        <f t="shared" si="67"/>
        <v>1</v>
      </c>
      <c r="AB61" s="48"/>
      <c r="AC61" s="48"/>
      <c r="AD61" s="48"/>
    </row>
    <row r="62" spans="1:30" x14ac:dyDescent="0.2">
      <c r="A62" s="248"/>
      <c r="B62" s="248" t="str">
        <f>IF(ship3="","N/A",ship3)</f>
        <v>N/A</v>
      </c>
      <c r="C62" s="49" t="s">
        <v>11</v>
      </c>
      <c r="D62" s="50">
        <f t="shared" ref="D62:Z62" si="68">ship3_timeECA</f>
        <v>0</v>
      </c>
      <c r="E62" s="50">
        <f t="shared" si="68"/>
        <v>0</v>
      </c>
      <c r="F62" s="50">
        <f t="shared" si="68"/>
        <v>0</v>
      </c>
      <c r="G62" s="50">
        <f t="shared" si="68"/>
        <v>0</v>
      </c>
      <c r="H62" s="50">
        <f t="shared" si="68"/>
        <v>0</v>
      </c>
      <c r="I62" s="50">
        <f t="shared" si="68"/>
        <v>0</v>
      </c>
      <c r="J62" s="50">
        <f t="shared" si="68"/>
        <v>0</v>
      </c>
      <c r="K62" s="50">
        <f t="shared" si="68"/>
        <v>0</v>
      </c>
      <c r="L62" s="50">
        <f t="shared" si="68"/>
        <v>0</v>
      </c>
      <c r="M62" s="50">
        <f t="shared" si="68"/>
        <v>0</v>
      </c>
      <c r="N62" s="50">
        <f t="shared" si="68"/>
        <v>0</v>
      </c>
      <c r="O62" s="50">
        <f t="shared" si="68"/>
        <v>0</v>
      </c>
      <c r="P62" s="50">
        <f t="shared" si="68"/>
        <v>0</v>
      </c>
      <c r="Q62" s="50">
        <f t="shared" si="68"/>
        <v>0</v>
      </c>
      <c r="R62" s="50">
        <f t="shared" si="68"/>
        <v>0</v>
      </c>
      <c r="S62" s="50">
        <f t="shared" si="68"/>
        <v>0</v>
      </c>
      <c r="T62" s="50">
        <f t="shared" si="68"/>
        <v>0</v>
      </c>
      <c r="U62" s="50">
        <f t="shared" si="68"/>
        <v>0</v>
      </c>
      <c r="V62" s="50">
        <f t="shared" si="68"/>
        <v>0</v>
      </c>
      <c r="W62" s="50">
        <f t="shared" si="68"/>
        <v>0</v>
      </c>
      <c r="X62" s="50">
        <f t="shared" si="68"/>
        <v>0</v>
      </c>
      <c r="Y62" s="50">
        <f t="shared" si="68"/>
        <v>0</v>
      </c>
      <c r="Z62" s="50">
        <f t="shared" si="68"/>
        <v>0</v>
      </c>
      <c r="AB62" s="48"/>
      <c r="AC62" s="48"/>
      <c r="AD62" s="48"/>
    </row>
    <row r="63" spans="1:30" x14ac:dyDescent="0.2">
      <c r="A63" s="248"/>
      <c r="B63" s="248"/>
      <c r="C63" s="30" t="s">
        <v>12</v>
      </c>
      <c r="D63" s="51">
        <f t="shared" ref="D63:Z63" si="69">1-ship3_timeECA</f>
        <v>1</v>
      </c>
      <c r="E63" s="51">
        <f t="shared" si="69"/>
        <v>1</v>
      </c>
      <c r="F63" s="51">
        <f t="shared" si="69"/>
        <v>1</v>
      </c>
      <c r="G63" s="51">
        <f t="shared" si="69"/>
        <v>1</v>
      </c>
      <c r="H63" s="51">
        <f t="shared" si="69"/>
        <v>1</v>
      </c>
      <c r="I63" s="51">
        <f t="shared" si="69"/>
        <v>1</v>
      </c>
      <c r="J63" s="51">
        <f t="shared" si="69"/>
        <v>1</v>
      </c>
      <c r="K63" s="51">
        <f t="shared" si="69"/>
        <v>1</v>
      </c>
      <c r="L63" s="51">
        <f t="shared" si="69"/>
        <v>1</v>
      </c>
      <c r="M63" s="51">
        <f t="shared" si="69"/>
        <v>1</v>
      </c>
      <c r="N63" s="51">
        <f t="shared" si="69"/>
        <v>1</v>
      </c>
      <c r="O63" s="51">
        <f t="shared" si="69"/>
        <v>1</v>
      </c>
      <c r="P63" s="51">
        <f t="shared" si="69"/>
        <v>1</v>
      </c>
      <c r="Q63" s="51">
        <f t="shared" si="69"/>
        <v>1</v>
      </c>
      <c r="R63" s="51">
        <f t="shared" si="69"/>
        <v>1</v>
      </c>
      <c r="S63" s="51">
        <f t="shared" si="69"/>
        <v>1</v>
      </c>
      <c r="T63" s="51">
        <f t="shared" si="69"/>
        <v>1</v>
      </c>
      <c r="U63" s="51">
        <f t="shared" si="69"/>
        <v>1</v>
      </c>
      <c r="V63" s="51">
        <f t="shared" si="69"/>
        <v>1</v>
      </c>
      <c r="W63" s="51">
        <f t="shared" si="69"/>
        <v>1</v>
      </c>
      <c r="X63" s="51">
        <f t="shared" si="69"/>
        <v>1</v>
      </c>
      <c r="Y63" s="51">
        <f t="shared" si="69"/>
        <v>1</v>
      </c>
      <c r="Z63" s="51">
        <f t="shared" si="69"/>
        <v>1</v>
      </c>
      <c r="AB63" s="48"/>
      <c r="AC63" s="48"/>
      <c r="AD63" s="48"/>
    </row>
    <row r="64" spans="1:30" x14ac:dyDescent="0.2">
      <c r="A64" s="248"/>
      <c r="B64" s="248" t="str">
        <f>IF(ship4="","N/A",ship4)</f>
        <v>N/A</v>
      </c>
      <c r="C64" s="49" t="s">
        <v>11</v>
      </c>
      <c r="D64" s="50">
        <f t="shared" ref="D64:Z64" si="70">ship4_timeECA</f>
        <v>0</v>
      </c>
      <c r="E64" s="50">
        <f t="shared" si="70"/>
        <v>0</v>
      </c>
      <c r="F64" s="50">
        <f t="shared" si="70"/>
        <v>0</v>
      </c>
      <c r="G64" s="50">
        <f t="shared" si="70"/>
        <v>0</v>
      </c>
      <c r="H64" s="50">
        <f t="shared" si="70"/>
        <v>0</v>
      </c>
      <c r="I64" s="50">
        <f t="shared" si="70"/>
        <v>0</v>
      </c>
      <c r="J64" s="50">
        <f t="shared" si="70"/>
        <v>0</v>
      </c>
      <c r="K64" s="50">
        <f t="shared" si="70"/>
        <v>0</v>
      </c>
      <c r="L64" s="50">
        <f t="shared" si="70"/>
        <v>0</v>
      </c>
      <c r="M64" s="50">
        <f t="shared" si="70"/>
        <v>0</v>
      </c>
      <c r="N64" s="50">
        <f t="shared" si="70"/>
        <v>0</v>
      </c>
      <c r="O64" s="50">
        <f t="shared" si="70"/>
        <v>0</v>
      </c>
      <c r="P64" s="50">
        <f t="shared" si="70"/>
        <v>0</v>
      </c>
      <c r="Q64" s="50">
        <f t="shared" si="70"/>
        <v>0</v>
      </c>
      <c r="R64" s="50">
        <f t="shared" si="70"/>
        <v>0</v>
      </c>
      <c r="S64" s="50">
        <f t="shared" si="70"/>
        <v>0</v>
      </c>
      <c r="T64" s="50">
        <f t="shared" si="70"/>
        <v>0</v>
      </c>
      <c r="U64" s="50">
        <f t="shared" si="70"/>
        <v>0</v>
      </c>
      <c r="V64" s="50">
        <f t="shared" si="70"/>
        <v>0</v>
      </c>
      <c r="W64" s="50">
        <f t="shared" si="70"/>
        <v>0</v>
      </c>
      <c r="X64" s="50">
        <f t="shared" si="70"/>
        <v>0</v>
      </c>
      <c r="Y64" s="50">
        <f t="shared" si="70"/>
        <v>0</v>
      </c>
      <c r="Z64" s="50">
        <f t="shared" si="70"/>
        <v>0</v>
      </c>
      <c r="AB64" s="48"/>
      <c r="AC64" s="48"/>
      <c r="AD64" s="48"/>
    </row>
    <row r="65" spans="1:30" x14ac:dyDescent="0.2">
      <c r="A65" s="248"/>
      <c r="B65" s="248"/>
      <c r="C65" s="30" t="s">
        <v>12</v>
      </c>
      <c r="D65" s="51">
        <f t="shared" ref="D65:Z65" si="71">1-ship4_timeECA</f>
        <v>1</v>
      </c>
      <c r="E65" s="51">
        <f t="shared" si="71"/>
        <v>1</v>
      </c>
      <c r="F65" s="51">
        <f t="shared" si="71"/>
        <v>1</v>
      </c>
      <c r="G65" s="51">
        <f t="shared" si="71"/>
        <v>1</v>
      </c>
      <c r="H65" s="51">
        <f t="shared" si="71"/>
        <v>1</v>
      </c>
      <c r="I65" s="51">
        <f t="shared" si="71"/>
        <v>1</v>
      </c>
      <c r="J65" s="51">
        <f t="shared" si="71"/>
        <v>1</v>
      </c>
      <c r="K65" s="51">
        <f t="shared" si="71"/>
        <v>1</v>
      </c>
      <c r="L65" s="51">
        <f t="shared" si="71"/>
        <v>1</v>
      </c>
      <c r="M65" s="51">
        <f t="shared" si="71"/>
        <v>1</v>
      </c>
      <c r="N65" s="51">
        <f t="shared" si="71"/>
        <v>1</v>
      </c>
      <c r="O65" s="51">
        <f t="shared" si="71"/>
        <v>1</v>
      </c>
      <c r="P65" s="51">
        <f t="shared" si="71"/>
        <v>1</v>
      </c>
      <c r="Q65" s="51">
        <f t="shared" si="71"/>
        <v>1</v>
      </c>
      <c r="R65" s="51">
        <f t="shared" si="71"/>
        <v>1</v>
      </c>
      <c r="S65" s="51">
        <f t="shared" si="71"/>
        <v>1</v>
      </c>
      <c r="T65" s="51">
        <f t="shared" si="71"/>
        <v>1</v>
      </c>
      <c r="U65" s="51">
        <f t="shared" si="71"/>
        <v>1</v>
      </c>
      <c r="V65" s="51">
        <f t="shared" si="71"/>
        <v>1</v>
      </c>
      <c r="W65" s="51">
        <f t="shared" si="71"/>
        <v>1</v>
      </c>
      <c r="X65" s="51">
        <f t="shared" si="71"/>
        <v>1</v>
      </c>
      <c r="Y65" s="51">
        <f t="shared" si="71"/>
        <v>1</v>
      </c>
      <c r="Z65" s="51">
        <f t="shared" si="71"/>
        <v>1</v>
      </c>
      <c r="AB65" s="48"/>
      <c r="AC65" s="48"/>
      <c r="AD65" s="48"/>
    </row>
    <row r="66" spans="1:30" x14ac:dyDescent="0.2">
      <c r="A66" s="248"/>
      <c r="B66" s="248" t="str">
        <f>IF(ship5="","N/A",ship5)</f>
        <v>N/A</v>
      </c>
      <c r="C66" s="49" t="s">
        <v>11</v>
      </c>
      <c r="D66" s="50">
        <f t="shared" ref="D66:Z66" si="72">ship5_timeECA</f>
        <v>0</v>
      </c>
      <c r="E66" s="50">
        <f t="shared" si="72"/>
        <v>0</v>
      </c>
      <c r="F66" s="50">
        <f t="shared" si="72"/>
        <v>0</v>
      </c>
      <c r="G66" s="50">
        <f t="shared" si="72"/>
        <v>0</v>
      </c>
      <c r="H66" s="50">
        <f t="shared" si="72"/>
        <v>0</v>
      </c>
      <c r="I66" s="50">
        <f t="shared" si="72"/>
        <v>0</v>
      </c>
      <c r="J66" s="50">
        <f t="shared" si="72"/>
        <v>0</v>
      </c>
      <c r="K66" s="50">
        <f t="shared" si="72"/>
        <v>0</v>
      </c>
      <c r="L66" s="50">
        <f t="shared" si="72"/>
        <v>0</v>
      </c>
      <c r="M66" s="50">
        <f t="shared" si="72"/>
        <v>0</v>
      </c>
      <c r="N66" s="50">
        <f t="shared" si="72"/>
        <v>0</v>
      </c>
      <c r="O66" s="50">
        <f t="shared" si="72"/>
        <v>0</v>
      </c>
      <c r="P66" s="50">
        <f t="shared" si="72"/>
        <v>0</v>
      </c>
      <c r="Q66" s="50">
        <f t="shared" si="72"/>
        <v>0</v>
      </c>
      <c r="R66" s="50">
        <f t="shared" si="72"/>
        <v>0</v>
      </c>
      <c r="S66" s="50">
        <f t="shared" si="72"/>
        <v>0</v>
      </c>
      <c r="T66" s="50">
        <f t="shared" si="72"/>
        <v>0</v>
      </c>
      <c r="U66" s="50">
        <f t="shared" si="72"/>
        <v>0</v>
      </c>
      <c r="V66" s="50">
        <f t="shared" si="72"/>
        <v>0</v>
      </c>
      <c r="W66" s="50">
        <f t="shared" si="72"/>
        <v>0</v>
      </c>
      <c r="X66" s="50">
        <f t="shared" si="72"/>
        <v>0</v>
      </c>
      <c r="Y66" s="50">
        <f t="shared" si="72"/>
        <v>0</v>
      </c>
      <c r="Z66" s="50">
        <f t="shared" si="72"/>
        <v>0</v>
      </c>
      <c r="AB66" s="48"/>
      <c r="AC66" s="48"/>
      <c r="AD66" s="48"/>
    </row>
    <row r="67" spans="1:30" x14ac:dyDescent="0.2">
      <c r="A67" s="248"/>
      <c r="B67" s="248"/>
      <c r="C67" s="30" t="s">
        <v>12</v>
      </c>
      <c r="D67" s="51">
        <f t="shared" ref="D67:Z67" si="73">1-ship5_timeECA</f>
        <v>1</v>
      </c>
      <c r="E67" s="51">
        <f t="shared" si="73"/>
        <v>1</v>
      </c>
      <c r="F67" s="51">
        <f t="shared" si="73"/>
        <v>1</v>
      </c>
      <c r="G67" s="51">
        <f t="shared" si="73"/>
        <v>1</v>
      </c>
      <c r="H67" s="51">
        <f t="shared" si="73"/>
        <v>1</v>
      </c>
      <c r="I67" s="51">
        <f t="shared" si="73"/>
        <v>1</v>
      </c>
      <c r="J67" s="51">
        <f t="shared" si="73"/>
        <v>1</v>
      </c>
      <c r="K67" s="51">
        <f t="shared" si="73"/>
        <v>1</v>
      </c>
      <c r="L67" s="51">
        <f t="shared" si="73"/>
        <v>1</v>
      </c>
      <c r="M67" s="51">
        <f t="shared" si="73"/>
        <v>1</v>
      </c>
      <c r="N67" s="51">
        <f t="shared" si="73"/>
        <v>1</v>
      </c>
      <c r="O67" s="51">
        <f t="shared" si="73"/>
        <v>1</v>
      </c>
      <c r="P67" s="51">
        <f t="shared" si="73"/>
        <v>1</v>
      </c>
      <c r="Q67" s="51">
        <f t="shared" si="73"/>
        <v>1</v>
      </c>
      <c r="R67" s="51">
        <f t="shared" si="73"/>
        <v>1</v>
      </c>
      <c r="S67" s="51">
        <f t="shared" si="73"/>
        <v>1</v>
      </c>
      <c r="T67" s="51">
        <f t="shared" si="73"/>
        <v>1</v>
      </c>
      <c r="U67" s="51">
        <f t="shared" si="73"/>
        <v>1</v>
      </c>
      <c r="V67" s="51">
        <f t="shared" si="73"/>
        <v>1</v>
      </c>
      <c r="W67" s="51">
        <f t="shared" si="73"/>
        <v>1</v>
      </c>
      <c r="X67" s="51">
        <f t="shared" si="73"/>
        <v>1</v>
      </c>
      <c r="Y67" s="51">
        <f t="shared" si="73"/>
        <v>1</v>
      </c>
      <c r="Z67" s="51">
        <f t="shared" si="73"/>
        <v>1</v>
      </c>
      <c r="AB67" s="48"/>
      <c r="AC67" s="48"/>
      <c r="AD67" s="48"/>
    </row>
    <row r="68" spans="1:30" x14ac:dyDescent="0.2">
      <c r="A68" s="248"/>
      <c r="B68" s="248" t="str">
        <f>IF(ship6="","N/A",ship6)</f>
        <v>N/A</v>
      </c>
      <c r="C68" s="49" t="s">
        <v>11</v>
      </c>
      <c r="D68" s="50">
        <f t="shared" ref="D68:Z68" si="74">ship6_timeECA</f>
        <v>0</v>
      </c>
      <c r="E68" s="50">
        <f t="shared" si="74"/>
        <v>0</v>
      </c>
      <c r="F68" s="50">
        <f t="shared" si="74"/>
        <v>0</v>
      </c>
      <c r="G68" s="50">
        <f t="shared" si="74"/>
        <v>0</v>
      </c>
      <c r="H68" s="50">
        <f t="shared" si="74"/>
        <v>0</v>
      </c>
      <c r="I68" s="50">
        <f t="shared" si="74"/>
        <v>0</v>
      </c>
      <c r="J68" s="50">
        <f t="shared" si="74"/>
        <v>0</v>
      </c>
      <c r="K68" s="50">
        <f t="shared" si="74"/>
        <v>0</v>
      </c>
      <c r="L68" s="50">
        <f t="shared" si="74"/>
        <v>0</v>
      </c>
      <c r="M68" s="50">
        <f t="shared" si="74"/>
        <v>0</v>
      </c>
      <c r="N68" s="50">
        <f t="shared" si="74"/>
        <v>0</v>
      </c>
      <c r="O68" s="50">
        <f t="shared" si="74"/>
        <v>0</v>
      </c>
      <c r="P68" s="50">
        <f t="shared" si="74"/>
        <v>0</v>
      </c>
      <c r="Q68" s="50">
        <f t="shared" si="74"/>
        <v>0</v>
      </c>
      <c r="R68" s="50">
        <f t="shared" si="74"/>
        <v>0</v>
      </c>
      <c r="S68" s="50">
        <f t="shared" si="74"/>
        <v>0</v>
      </c>
      <c r="T68" s="50">
        <f t="shared" si="74"/>
        <v>0</v>
      </c>
      <c r="U68" s="50">
        <f t="shared" si="74"/>
        <v>0</v>
      </c>
      <c r="V68" s="50">
        <f t="shared" si="74"/>
        <v>0</v>
      </c>
      <c r="W68" s="50">
        <f t="shared" si="74"/>
        <v>0</v>
      </c>
      <c r="X68" s="50">
        <f t="shared" si="74"/>
        <v>0</v>
      </c>
      <c r="Y68" s="50">
        <f t="shared" si="74"/>
        <v>0</v>
      </c>
      <c r="Z68" s="50">
        <f t="shared" si="74"/>
        <v>0</v>
      </c>
      <c r="AB68" s="52" t="s">
        <v>23</v>
      </c>
      <c r="AC68" s="52"/>
      <c r="AD68" s="52"/>
    </row>
    <row r="69" spans="1:30" ht="13.5" thickBot="1" x14ac:dyDescent="0.25">
      <c r="A69" s="248"/>
      <c r="B69" s="248"/>
      <c r="C69" s="30" t="s">
        <v>12</v>
      </c>
      <c r="D69" s="51">
        <f t="shared" ref="D69:Z69" si="75">1-ship6_timeECA</f>
        <v>1</v>
      </c>
      <c r="E69" s="51">
        <f t="shared" si="75"/>
        <v>1</v>
      </c>
      <c r="F69" s="51">
        <f t="shared" si="75"/>
        <v>1</v>
      </c>
      <c r="G69" s="51">
        <f t="shared" si="75"/>
        <v>1</v>
      </c>
      <c r="H69" s="51">
        <f t="shared" si="75"/>
        <v>1</v>
      </c>
      <c r="I69" s="51">
        <f t="shared" si="75"/>
        <v>1</v>
      </c>
      <c r="J69" s="51">
        <f t="shared" si="75"/>
        <v>1</v>
      </c>
      <c r="K69" s="51">
        <f t="shared" si="75"/>
        <v>1</v>
      </c>
      <c r="L69" s="51">
        <f t="shared" si="75"/>
        <v>1</v>
      </c>
      <c r="M69" s="51">
        <f t="shared" si="75"/>
        <v>1</v>
      </c>
      <c r="N69" s="51">
        <f t="shared" si="75"/>
        <v>1</v>
      </c>
      <c r="O69" s="51">
        <f t="shared" si="75"/>
        <v>1</v>
      </c>
      <c r="P69" s="51">
        <f t="shared" si="75"/>
        <v>1</v>
      </c>
      <c r="Q69" s="51">
        <f t="shared" si="75"/>
        <v>1</v>
      </c>
      <c r="R69" s="51">
        <f t="shared" si="75"/>
        <v>1</v>
      </c>
      <c r="S69" s="51">
        <f t="shared" si="75"/>
        <v>1</v>
      </c>
      <c r="T69" s="51">
        <f t="shared" si="75"/>
        <v>1</v>
      </c>
      <c r="U69" s="51">
        <f t="shared" si="75"/>
        <v>1</v>
      </c>
      <c r="V69" s="51">
        <f t="shared" si="75"/>
        <v>1</v>
      </c>
      <c r="W69" s="51">
        <f t="shared" si="75"/>
        <v>1</v>
      </c>
      <c r="X69" s="51">
        <f t="shared" si="75"/>
        <v>1</v>
      </c>
      <c r="Y69" s="51">
        <f t="shared" si="75"/>
        <v>1</v>
      </c>
      <c r="Z69" s="51">
        <f t="shared" si="75"/>
        <v>1</v>
      </c>
      <c r="AB69" s="53" t="s">
        <v>21</v>
      </c>
      <c r="AC69" s="54" t="s">
        <v>22</v>
      </c>
      <c r="AD69" s="55" t="s">
        <v>24</v>
      </c>
    </row>
    <row r="70" spans="1:30" x14ac:dyDescent="0.2">
      <c r="A70" s="264" t="s">
        <v>34</v>
      </c>
      <c r="B70" s="264">
        <f>ship1</f>
        <v>0</v>
      </c>
      <c r="C70" s="42" t="s">
        <v>17</v>
      </c>
      <c r="D70" s="56">
        <f t="shared" ref="D70:Z70" si="76">SUM(ship1_fuel_type1*D$4,ship1_fuel_type2*D$16,ship1_fuel_type3*D$28+ship1_fuel_type4*D$40)</f>
        <v>0</v>
      </c>
      <c r="E70" s="56">
        <f t="shared" si="76"/>
        <v>0</v>
      </c>
      <c r="F70" s="56">
        <f t="shared" si="76"/>
        <v>0</v>
      </c>
      <c r="G70" s="56">
        <f t="shared" si="76"/>
        <v>0</v>
      </c>
      <c r="H70" s="56">
        <f t="shared" si="76"/>
        <v>0</v>
      </c>
      <c r="I70" s="56">
        <f t="shared" si="76"/>
        <v>0</v>
      </c>
      <c r="J70" s="56">
        <f t="shared" si="76"/>
        <v>0</v>
      </c>
      <c r="K70" s="56">
        <f t="shared" si="76"/>
        <v>0</v>
      </c>
      <c r="L70" s="56">
        <f t="shared" si="76"/>
        <v>0</v>
      </c>
      <c r="M70" s="56">
        <f t="shared" si="76"/>
        <v>0</v>
      </c>
      <c r="N70" s="56">
        <f t="shared" si="76"/>
        <v>0</v>
      </c>
      <c r="O70" s="56">
        <f t="shared" si="76"/>
        <v>0</v>
      </c>
      <c r="P70" s="56">
        <f t="shared" si="76"/>
        <v>0</v>
      </c>
      <c r="Q70" s="56">
        <f t="shared" si="76"/>
        <v>0</v>
      </c>
      <c r="R70" s="56">
        <f t="shared" si="76"/>
        <v>0</v>
      </c>
      <c r="S70" s="56">
        <f t="shared" si="76"/>
        <v>0</v>
      </c>
      <c r="T70" s="56">
        <f t="shared" si="76"/>
        <v>0</v>
      </c>
      <c r="U70" s="56">
        <f t="shared" si="76"/>
        <v>0</v>
      </c>
      <c r="V70" s="56">
        <f t="shared" si="76"/>
        <v>0</v>
      </c>
      <c r="W70" s="56">
        <f t="shared" si="76"/>
        <v>0</v>
      </c>
      <c r="X70" s="56">
        <f t="shared" si="76"/>
        <v>0</v>
      </c>
      <c r="Y70" s="56">
        <f t="shared" si="76"/>
        <v>0</v>
      </c>
      <c r="Z70" s="56">
        <f t="shared" si="76"/>
        <v>0</v>
      </c>
      <c r="AB70" s="57">
        <f t="shared" ref="AB70:AB141" si="77">AVERAGE(D70:E70)</f>
        <v>0</v>
      </c>
      <c r="AC70" s="58">
        <f t="shared" ref="AC70:AC141" si="78">AVERAGE(F70:J70)</f>
        <v>0</v>
      </c>
      <c r="AD70" s="59">
        <f t="shared" ref="AD70:AD141" si="79">AVERAGE(K70:Z70)</f>
        <v>0</v>
      </c>
    </row>
    <row r="71" spans="1:30" x14ac:dyDescent="0.2">
      <c r="A71" s="264"/>
      <c r="B71" s="264"/>
      <c r="C71" s="42" t="s">
        <v>18</v>
      </c>
      <c r="D71" s="60">
        <f t="shared" ref="D71:Z71" si="80">SUM(ship1_fuel_type1*D$8,ship1_fuel_type2*D$20,ship1_fuel_type3*D$32+ship1_fuel_type4*D$44)</f>
        <v>0</v>
      </c>
      <c r="E71" s="60">
        <f t="shared" si="80"/>
        <v>0</v>
      </c>
      <c r="F71" s="60">
        <f t="shared" si="80"/>
        <v>0</v>
      </c>
      <c r="G71" s="60">
        <f t="shared" si="80"/>
        <v>0</v>
      </c>
      <c r="H71" s="60">
        <f t="shared" si="80"/>
        <v>0</v>
      </c>
      <c r="I71" s="60">
        <f t="shared" si="80"/>
        <v>0</v>
      </c>
      <c r="J71" s="60">
        <f t="shared" si="80"/>
        <v>0</v>
      </c>
      <c r="K71" s="60">
        <f t="shared" si="80"/>
        <v>0</v>
      </c>
      <c r="L71" s="60">
        <f t="shared" si="80"/>
        <v>0</v>
      </c>
      <c r="M71" s="60">
        <f t="shared" si="80"/>
        <v>0</v>
      </c>
      <c r="N71" s="60">
        <f t="shared" si="80"/>
        <v>0</v>
      </c>
      <c r="O71" s="60">
        <f t="shared" si="80"/>
        <v>0</v>
      </c>
      <c r="P71" s="60">
        <f t="shared" si="80"/>
        <v>0</v>
      </c>
      <c r="Q71" s="60">
        <f t="shared" si="80"/>
        <v>0</v>
      </c>
      <c r="R71" s="60">
        <f t="shared" si="80"/>
        <v>0</v>
      </c>
      <c r="S71" s="60">
        <f t="shared" si="80"/>
        <v>0</v>
      </c>
      <c r="T71" s="60">
        <f t="shared" si="80"/>
        <v>0</v>
      </c>
      <c r="U71" s="60">
        <f t="shared" si="80"/>
        <v>0</v>
      </c>
      <c r="V71" s="60">
        <f t="shared" si="80"/>
        <v>0</v>
      </c>
      <c r="W71" s="60">
        <f t="shared" si="80"/>
        <v>0</v>
      </c>
      <c r="X71" s="60">
        <f t="shared" si="80"/>
        <v>0</v>
      </c>
      <c r="Y71" s="60">
        <f t="shared" si="80"/>
        <v>0</v>
      </c>
      <c r="Z71" s="60">
        <f t="shared" si="80"/>
        <v>0</v>
      </c>
      <c r="AB71" s="61">
        <f t="shared" si="77"/>
        <v>0</v>
      </c>
      <c r="AC71" s="60">
        <f t="shared" si="78"/>
        <v>0</v>
      </c>
      <c r="AD71" s="62">
        <f t="shared" si="79"/>
        <v>0</v>
      </c>
    </row>
    <row r="72" spans="1:30" x14ac:dyDescent="0.2">
      <c r="A72" s="264"/>
      <c r="B72" s="264"/>
      <c r="C72" s="42" t="s">
        <v>19</v>
      </c>
      <c r="D72" s="63">
        <f t="shared" ref="D72:Z72" si="81">SUM(ship1_fuel_type1*D$12,ship1_fuel_type2*D$24,ship1_fuel_type3*D$36+ship1_fuel_type4*D$48)</f>
        <v>0</v>
      </c>
      <c r="E72" s="63">
        <f t="shared" si="81"/>
        <v>0</v>
      </c>
      <c r="F72" s="63">
        <f t="shared" si="81"/>
        <v>0</v>
      </c>
      <c r="G72" s="63">
        <f t="shared" si="81"/>
        <v>0</v>
      </c>
      <c r="H72" s="63">
        <f t="shared" si="81"/>
        <v>0</v>
      </c>
      <c r="I72" s="63">
        <f t="shared" si="81"/>
        <v>0</v>
      </c>
      <c r="J72" s="63">
        <f t="shared" si="81"/>
        <v>0</v>
      </c>
      <c r="K72" s="63">
        <f t="shared" si="81"/>
        <v>0</v>
      </c>
      <c r="L72" s="63">
        <f t="shared" si="81"/>
        <v>0</v>
      </c>
      <c r="M72" s="63">
        <f t="shared" si="81"/>
        <v>0</v>
      </c>
      <c r="N72" s="63">
        <f t="shared" si="81"/>
        <v>0</v>
      </c>
      <c r="O72" s="63">
        <f t="shared" si="81"/>
        <v>0</v>
      </c>
      <c r="P72" s="63">
        <f t="shared" si="81"/>
        <v>0</v>
      </c>
      <c r="Q72" s="63">
        <f t="shared" si="81"/>
        <v>0</v>
      </c>
      <c r="R72" s="63">
        <f t="shared" si="81"/>
        <v>0</v>
      </c>
      <c r="S72" s="63">
        <f t="shared" si="81"/>
        <v>0</v>
      </c>
      <c r="T72" s="63">
        <f t="shared" si="81"/>
        <v>0</v>
      </c>
      <c r="U72" s="63">
        <f t="shared" si="81"/>
        <v>0</v>
      </c>
      <c r="V72" s="63">
        <f t="shared" si="81"/>
        <v>0</v>
      </c>
      <c r="W72" s="63">
        <f t="shared" si="81"/>
        <v>0</v>
      </c>
      <c r="X72" s="63">
        <f t="shared" si="81"/>
        <v>0</v>
      </c>
      <c r="Y72" s="63">
        <f t="shared" si="81"/>
        <v>0</v>
      </c>
      <c r="Z72" s="63">
        <f t="shared" si="81"/>
        <v>0</v>
      </c>
      <c r="AB72" s="64">
        <f t="shared" si="77"/>
        <v>0</v>
      </c>
      <c r="AC72" s="63">
        <f t="shared" si="78"/>
        <v>0</v>
      </c>
      <c r="AD72" s="65">
        <f t="shared" si="79"/>
        <v>0</v>
      </c>
    </row>
    <row r="73" spans="1:30" x14ac:dyDescent="0.2">
      <c r="A73" s="264"/>
      <c r="B73" s="264">
        <f>ship2</f>
        <v>0</v>
      </c>
      <c r="C73" s="42" t="s">
        <v>17</v>
      </c>
      <c r="D73" s="56">
        <f t="shared" ref="D73:Z73" si="82">SUM(ship2_fuel_type1*D$4,ship2_fuel_type2*D$16,ship2_fuel_type3*D$28+ship2_fuel_type4*D$40)</f>
        <v>0</v>
      </c>
      <c r="E73" s="56">
        <f t="shared" si="82"/>
        <v>0</v>
      </c>
      <c r="F73" s="56">
        <f t="shared" si="82"/>
        <v>0</v>
      </c>
      <c r="G73" s="56">
        <f t="shared" si="82"/>
        <v>0</v>
      </c>
      <c r="H73" s="56">
        <f t="shared" si="82"/>
        <v>0</v>
      </c>
      <c r="I73" s="56">
        <f t="shared" si="82"/>
        <v>0</v>
      </c>
      <c r="J73" s="56">
        <f t="shared" si="82"/>
        <v>0</v>
      </c>
      <c r="K73" s="56">
        <f t="shared" si="82"/>
        <v>0</v>
      </c>
      <c r="L73" s="56">
        <f t="shared" si="82"/>
        <v>0</v>
      </c>
      <c r="M73" s="56">
        <f t="shared" si="82"/>
        <v>0</v>
      </c>
      <c r="N73" s="56">
        <f t="shared" si="82"/>
        <v>0</v>
      </c>
      <c r="O73" s="56">
        <f t="shared" si="82"/>
        <v>0</v>
      </c>
      <c r="P73" s="56">
        <f t="shared" si="82"/>
        <v>0</v>
      </c>
      <c r="Q73" s="56">
        <f t="shared" si="82"/>
        <v>0</v>
      </c>
      <c r="R73" s="56">
        <f t="shared" si="82"/>
        <v>0</v>
      </c>
      <c r="S73" s="56">
        <f t="shared" si="82"/>
        <v>0</v>
      </c>
      <c r="T73" s="56">
        <f t="shared" si="82"/>
        <v>0</v>
      </c>
      <c r="U73" s="56">
        <f t="shared" si="82"/>
        <v>0</v>
      </c>
      <c r="V73" s="56">
        <f t="shared" si="82"/>
        <v>0</v>
      </c>
      <c r="W73" s="56">
        <f t="shared" si="82"/>
        <v>0</v>
      </c>
      <c r="X73" s="56">
        <f t="shared" si="82"/>
        <v>0</v>
      </c>
      <c r="Y73" s="56">
        <f t="shared" si="82"/>
        <v>0</v>
      </c>
      <c r="Z73" s="56">
        <f t="shared" si="82"/>
        <v>0</v>
      </c>
      <c r="AB73" s="66">
        <f t="shared" si="77"/>
        <v>0</v>
      </c>
      <c r="AC73" s="56">
        <f t="shared" si="78"/>
        <v>0</v>
      </c>
      <c r="AD73" s="67">
        <f t="shared" si="79"/>
        <v>0</v>
      </c>
    </row>
    <row r="74" spans="1:30" x14ac:dyDescent="0.2">
      <c r="A74" s="264"/>
      <c r="B74" s="264"/>
      <c r="C74" s="42" t="s">
        <v>18</v>
      </c>
      <c r="D74" s="60">
        <f t="shared" ref="D74:Z74" si="83">SUM(ship2_fuel_type1*D$8,ship2_fuel_type2*D$20,ship2_fuel_type3*D$32+ship2_fuel_type4*D$44)</f>
        <v>0</v>
      </c>
      <c r="E74" s="60">
        <f t="shared" si="83"/>
        <v>0</v>
      </c>
      <c r="F74" s="60">
        <f t="shared" si="83"/>
        <v>0</v>
      </c>
      <c r="G74" s="60">
        <f t="shared" si="83"/>
        <v>0</v>
      </c>
      <c r="H74" s="60">
        <f t="shared" si="83"/>
        <v>0</v>
      </c>
      <c r="I74" s="60">
        <f t="shared" si="83"/>
        <v>0</v>
      </c>
      <c r="J74" s="60">
        <f t="shared" si="83"/>
        <v>0</v>
      </c>
      <c r="K74" s="60">
        <f t="shared" si="83"/>
        <v>0</v>
      </c>
      <c r="L74" s="60">
        <f t="shared" si="83"/>
        <v>0</v>
      </c>
      <c r="M74" s="60">
        <f t="shared" si="83"/>
        <v>0</v>
      </c>
      <c r="N74" s="60">
        <f t="shared" si="83"/>
        <v>0</v>
      </c>
      <c r="O74" s="60">
        <f t="shared" si="83"/>
        <v>0</v>
      </c>
      <c r="P74" s="60">
        <f t="shared" si="83"/>
        <v>0</v>
      </c>
      <c r="Q74" s="60">
        <f t="shared" si="83"/>
        <v>0</v>
      </c>
      <c r="R74" s="60">
        <f t="shared" si="83"/>
        <v>0</v>
      </c>
      <c r="S74" s="60">
        <f t="shared" si="83"/>
        <v>0</v>
      </c>
      <c r="T74" s="60">
        <f t="shared" si="83"/>
        <v>0</v>
      </c>
      <c r="U74" s="60">
        <f t="shared" si="83"/>
        <v>0</v>
      </c>
      <c r="V74" s="60">
        <f t="shared" si="83"/>
        <v>0</v>
      </c>
      <c r="W74" s="60">
        <f t="shared" si="83"/>
        <v>0</v>
      </c>
      <c r="X74" s="60">
        <f t="shared" si="83"/>
        <v>0</v>
      </c>
      <c r="Y74" s="60">
        <f t="shared" si="83"/>
        <v>0</v>
      </c>
      <c r="Z74" s="60">
        <f t="shared" si="83"/>
        <v>0</v>
      </c>
      <c r="AB74" s="61">
        <f t="shared" si="77"/>
        <v>0</v>
      </c>
      <c r="AC74" s="60">
        <f t="shared" si="78"/>
        <v>0</v>
      </c>
      <c r="AD74" s="62">
        <f t="shared" si="79"/>
        <v>0</v>
      </c>
    </row>
    <row r="75" spans="1:30" x14ac:dyDescent="0.2">
      <c r="A75" s="264"/>
      <c r="B75" s="264"/>
      <c r="C75" s="42" t="s">
        <v>19</v>
      </c>
      <c r="D75" s="63">
        <f t="shared" ref="D75:Z75" si="84">SUM(ship2_fuel_type1*D$12,ship2_fuel_type2*D$24,ship2_fuel_type3*D$36+ship2_fuel_type4*D$48)</f>
        <v>0</v>
      </c>
      <c r="E75" s="63">
        <f t="shared" si="84"/>
        <v>0</v>
      </c>
      <c r="F75" s="63">
        <f t="shared" si="84"/>
        <v>0</v>
      </c>
      <c r="G75" s="63">
        <f t="shared" si="84"/>
        <v>0</v>
      </c>
      <c r="H75" s="63">
        <f t="shared" si="84"/>
        <v>0</v>
      </c>
      <c r="I75" s="63">
        <f t="shared" si="84"/>
        <v>0</v>
      </c>
      <c r="J75" s="63">
        <f t="shared" si="84"/>
        <v>0</v>
      </c>
      <c r="K75" s="63">
        <f t="shared" si="84"/>
        <v>0</v>
      </c>
      <c r="L75" s="63">
        <f t="shared" si="84"/>
        <v>0</v>
      </c>
      <c r="M75" s="63">
        <f t="shared" si="84"/>
        <v>0</v>
      </c>
      <c r="N75" s="63">
        <f t="shared" si="84"/>
        <v>0</v>
      </c>
      <c r="O75" s="63">
        <f t="shared" si="84"/>
        <v>0</v>
      </c>
      <c r="P75" s="63">
        <f t="shared" si="84"/>
        <v>0</v>
      </c>
      <c r="Q75" s="63">
        <f t="shared" si="84"/>
        <v>0</v>
      </c>
      <c r="R75" s="63">
        <f t="shared" si="84"/>
        <v>0</v>
      </c>
      <c r="S75" s="63">
        <f t="shared" si="84"/>
        <v>0</v>
      </c>
      <c r="T75" s="63">
        <f t="shared" si="84"/>
        <v>0</v>
      </c>
      <c r="U75" s="63">
        <f t="shared" si="84"/>
        <v>0</v>
      </c>
      <c r="V75" s="63">
        <f t="shared" si="84"/>
        <v>0</v>
      </c>
      <c r="W75" s="63">
        <f t="shared" si="84"/>
        <v>0</v>
      </c>
      <c r="X75" s="63">
        <f t="shared" si="84"/>
        <v>0</v>
      </c>
      <c r="Y75" s="63">
        <f t="shared" si="84"/>
        <v>0</v>
      </c>
      <c r="Z75" s="63">
        <f t="shared" si="84"/>
        <v>0</v>
      </c>
      <c r="AB75" s="64">
        <f t="shared" si="77"/>
        <v>0</v>
      </c>
      <c r="AC75" s="63">
        <f t="shared" si="78"/>
        <v>0</v>
      </c>
      <c r="AD75" s="65">
        <f t="shared" si="79"/>
        <v>0</v>
      </c>
    </row>
    <row r="76" spans="1:30" x14ac:dyDescent="0.2">
      <c r="A76" s="264"/>
      <c r="B76" s="264">
        <f>ship3</f>
        <v>0</v>
      </c>
      <c r="C76" s="42" t="s">
        <v>17</v>
      </c>
      <c r="D76" s="56">
        <f t="shared" ref="D76:Z76" si="85">SUM(ship3_fuel_type1*D$4,ship3_fuel_type2*D$16,ship3_fuel_type3*D$28+ship3_fuel_type4*D$40)</f>
        <v>0</v>
      </c>
      <c r="E76" s="56">
        <f t="shared" si="85"/>
        <v>0</v>
      </c>
      <c r="F76" s="56">
        <f t="shared" si="85"/>
        <v>0</v>
      </c>
      <c r="G76" s="56">
        <f t="shared" si="85"/>
        <v>0</v>
      </c>
      <c r="H76" s="56">
        <f t="shared" si="85"/>
        <v>0</v>
      </c>
      <c r="I76" s="56">
        <f t="shared" si="85"/>
        <v>0</v>
      </c>
      <c r="J76" s="56">
        <f t="shared" si="85"/>
        <v>0</v>
      </c>
      <c r="K76" s="56">
        <f t="shared" si="85"/>
        <v>0</v>
      </c>
      <c r="L76" s="56">
        <f t="shared" si="85"/>
        <v>0</v>
      </c>
      <c r="M76" s="56">
        <f t="shared" si="85"/>
        <v>0</v>
      </c>
      <c r="N76" s="56">
        <f t="shared" si="85"/>
        <v>0</v>
      </c>
      <c r="O76" s="56">
        <f t="shared" si="85"/>
        <v>0</v>
      </c>
      <c r="P76" s="56">
        <f t="shared" si="85"/>
        <v>0</v>
      </c>
      <c r="Q76" s="56">
        <f t="shared" si="85"/>
        <v>0</v>
      </c>
      <c r="R76" s="56">
        <f t="shared" si="85"/>
        <v>0</v>
      </c>
      <c r="S76" s="56">
        <f t="shared" si="85"/>
        <v>0</v>
      </c>
      <c r="T76" s="56">
        <f t="shared" si="85"/>
        <v>0</v>
      </c>
      <c r="U76" s="56">
        <f t="shared" si="85"/>
        <v>0</v>
      </c>
      <c r="V76" s="56">
        <f t="shared" si="85"/>
        <v>0</v>
      </c>
      <c r="W76" s="56">
        <f t="shared" si="85"/>
        <v>0</v>
      </c>
      <c r="X76" s="56">
        <f t="shared" si="85"/>
        <v>0</v>
      </c>
      <c r="Y76" s="56">
        <f t="shared" si="85"/>
        <v>0</v>
      </c>
      <c r="Z76" s="56">
        <f t="shared" si="85"/>
        <v>0</v>
      </c>
      <c r="AB76" s="66">
        <f t="shared" si="77"/>
        <v>0</v>
      </c>
      <c r="AC76" s="56">
        <f t="shared" si="78"/>
        <v>0</v>
      </c>
      <c r="AD76" s="67">
        <f t="shared" si="79"/>
        <v>0</v>
      </c>
    </row>
    <row r="77" spans="1:30" x14ac:dyDescent="0.2">
      <c r="A77" s="264"/>
      <c r="B77" s="264"/>
      <c r="C77" s="42" t="s">
        <v>18</v>
      </c>
      <c r="D77" s="60">
        <f t="shared" ref="D77:Z77" si="86">SUM(ship3_fuel_type1*D$8,ship3_fuel_type2*D$20,ship3_fuel_type3*D$32+ship3_fuel_type4*D$44)</f>
        <v>0</v>
      </c>
      <c r="E77" s="60">
        <f t="shared" si="86"/>
        <v>0</v>
      </c>
      <c r="F77" s="60">
        <f t="shared" si="86"/>
        <v>0</v>
      </c>
      <c r="G77" s="60">
        <f t="shared" si="86"/>
        <v>0</v>
      </c>
      <c r="H77" s="60">
        <f t="shared" si="86"/>
        <v>0</v>
      </c>
      <c r="I77" s="60">
        <f t="shared" si="86"/>
        <v>0</v>
      </c>
      <c r="J77" s="60">
        <f t="shared" si="86"/>
        <v>0</v>
      </c>
      <c r="K77" s="60">
        <f t="shared" si="86"/>
        <v>0</v>
      </c>
      <c r="L77" s="60">
        <f t="shared" si="86"/>
        <v>0</v>
      </c>
      <c r="M77" s="60">
        <f t="shared" si="86"/>
        <v>0</v>
      </c>
      <c r="N77" s="60">
        <f t="shared" si="86"/>
        <v>0</v>
      </c>
      <c r="O77" s="60">
        <f t="shared" si="86"/>
        <v>0</v>
      </c>
      <c r="P77" s="60">
        <f t="shared" si="86"/>
        <v>0</v>
      </c>
      <c r="Q77" s="60">
        <f t="shared" si="86"/>
        <v>0</v>
      </c>
      <c r="R77" s="60">
        <f t="shared" si="86"/>
        <v>0</v>
      </c>
      <c r="S77" s="60">
        <f t="shared" si="86"/>
        <v>0</v>
      </c>
      <c r="T77" s="60">
        <f t="shared" si="86"/>
        <v>0</v>
      </c>
      <c r="U77" s="60">
        <f t="shared" si="86"/>
        <v>0</v>
      </c>
      <c r="V77" s="60">
        <f t="shared" si="86"/>
        <v>0</v>
      </c>
      <c r="W77" s="60">
        <f t="shared" si="86"/>
        <v>0</v>
      </c>
      <c r="X77" s="60">
        <f t="shared" si="86"/>
        <v>0</v>
      </c>
      <c r="Y77" s="60">
        <f t="shared" si="86"/>
        <v>0</v>
      </c>
      <c r="Z77" s="60">
        <f t="shared" si="86"/>
        <v>0</v>
      </c>
      <c r="AB77" s="61">
        <f t="shared" si="77"/>
        <v>0</v>
      </c>
      <c r="AC77" s="60">
        <f t="shared" si="78"/>
        <v>0</v>
      </c>
      <c r="AD77" s="62">
        <f t="shared" si="79"/>
        <v>0</v>
      </c>
    </row>
    <row r="78" spans="1:30" x14ac:dyDescent="0.2">
      <c r="A78" s="264"/>
      <c r="B78" s="264"/>
      <c r="C78" s="42" t="s">
        <v>19</v>
      </c>
      <c r="D78" s="63">
        <f t="shared" ref="D78:Z78" si="87">SUM(ship3_fuel_type1*D$12,ship3_fuel_type2*D$24,ship3_fuel_type3*D$36+ship3_fuel_type4*D$48)</f>
        <v>0</v>
      </c>
      <c r="E78" s="63">
        <f t="shared" si="87"/>
        <v>0</v>
      </c>
      <c r="F78" s="63">
        <f t="shared" si="87"/>
        <v>0</v>
      </c>
      <c r="G78" s="63">
        <f t="shared" si="87"/>
        <v>0</v>
      </c>
      <c r="H78" s="63">
        <f t="shared" si="87"/>
        <v>0</v>
      </c>
      <c r="I78" s="63">
        <f t="shared" si="87"/>
        <v>0</v>
      </c>
      <c r="J78" s="63">
        <f t="shared" si="87"/>
        <v>0</v>
      </c>
      <c r="K78" s="63">
        <f t="shared" si="87"/>
        <v>0</v>
      </c>
      <c r="L78" s="63">
        <f t="shared" si="87"/>
        <v>0</v>
      </c>
      <c r="M78" s="63">
        <f t="shared" si="87"/>
        <v>0</v>
      </c>
      <c r="N78" s="63">
        <f t="shared" si="87"/>
        <v>0</v>
      </c>
      <c r="O78" s="63">
        <f t="shared" si="87"/>
        <v>0</v>
      </c>
      <c r="P78" s="63">
        <f t="shared" si="87"/>
        <v>0</v>
      </c>
      <c r="Q78" s="63">
        <f t="shared" si="87"/>
        <v>0</v>
      </c>
      <c r="R78" s="63">
        <f t="shared" si="87"/>
        <v>0</v>
      </c>
      <c r="S78" s="63">
        <f t="shared" si="87"/>
        <v>0</v>
      </c>
      <c r="T78" s="63">
        <f t="shared" si="87"/>
        <v>0</v>
      </c>
      <c r="U78" s="63">
        <f t="shared" si="87"/>
        <v>0</v>
      </c>
      <c r="V78" s="63">
        <f t="shared" si="87"/>
        <v>0</v>
      </c>
      <c r="W78" s="63">
        <f t="shared" si="87"/>
        <v>0</v>
      </c>
      <c r="X78" s="63">
        <f t="shared" si="87"/>
        <v>0</v>
      </c>
      <c r="Y78" s="63">
        <f t="shared" si="87"/>
        <v>0</v>
      </c>
      <c r="Z78" s="63">
        <f t="shared" si="87"/>
        <v>0</v>
      </c>
      <c r="AB78" s="64">
        <f t="shared" si="77"/>
        <v>0</v>
      </c>
      <c r="AC78" s="63">
        <f t="shared" si="78"/>
        <v>0</v>
      </c>
      <c r="AD78" s="65">
        <f t="shared" si="79"/>
        <v>0</v>
      </c>
    </row>
    <row r="79" spans="1:30" x14ac:dyDescent="0.2">
      <c r="A79" s="264"/>
      <c r="B79" s="264">
        <f>ship4</f>
        <v>0</v>
      </c>
      <c r="C79" s="42" t="s">
        <v>17</v>
      </c>
      <c r="D79" s="56">
        <f t="shared" ref="D79:Z79" si="88">SUM(ship4_fuel_type1*D$4,ship4_fuel_type2*D$16,ship4_fuel_type3*D$28+ship4_fuel_type4*D$40)</f>
        <v>0</v>
      </c>
      <c r="E79" s="56">
        <f t="shared" si="88"/>
        <v>0</v>
      </c>
      <c r="F79" s="56">
        <f t="shared" si="88"/>
        <v>0</v>
      </c>
      <c r="G79" s="56">
        <f t="shared" si="88"/>
        <v>0</v>
      </c>
      <c r="H79" s="56">
        <f t="shared" si="88"/>
        <v>0</v>
      </c>
      <c r="I79" s="56">
        <f t="shared" si="88"/>
        <v>0</v>
      </c>
      <c r="J79" s="56">
        <f t="shared" si="88"/>
        <v>0</v>
      </c>
      <c r="K79" s="56">
        <f t="shared" si="88"/>
        <v>0</v>
      </c>
      <c r="L79" s="56">
        <f t="shared" si="88"/>
        <v>0</v>
      </c>
      <c r="M79" s="56">
        <f t="shared" si="88"/>
        <v>0</v>
      </c>
      <c r="N79" s="56">
        <f t="shared" si="88"/>
        <v>0</v>
      </c>
      <c r="O79" s="56">
        <f t="shared" si="88"/>
        <v>0</v>
      </c>
      <c r="P79" s="56">
        <f t="shared" si="88"/>
        <v>0</v>
      </c>
      <c r="Q79" s="56">
        <f t="shared" si="88"/>
        <v>0</v>
      </c>
      <c r="R79" s="56">
        <f t="shared" si="88"/>
        <v>0</v>
      </c>
      <c r="S79" s="56">
        <f t="shared" si="88"/>
        <v>0</v>
      </c>
      <c r="T79" s="56">
        <f t="shared" si="88"/>
        <v>0</v>
      </c>
      <c r="U79" s="56">
        <f t="shared" si="88"/>
        <v>0</v>
      </c>
      <c r="V79" s="56">
        <f t="shared" si="88"/>
        <v>0</v>
      </c>
      <c r="W79" s="56">
        <f t="shared" si="88"/>
        <v>0</v>
      </c>
      <c r="X79" s="56">
        <f t="shared" si="88"/>
        <v>0</v>
      </c>
      <c r="Y79" s="56">
        <f t="shared" si="88"/>
        <v>0</v>
      </c>
      <c r="Z79" s="56">
        <f t="shared" si="88"/>
        <v>0</v>
      </c>
      <c r="AB79" s="66">
        <f t="shared" si="77"/>
        <v>0</v>
      </c>
      <c r="AC79" s="56">
        <f t="shared" si="78"/>
        <v>0</v>
      </c>
      <c r="AD79" s="67">
        <f t="shared" si="79"/>
        <v>0</v>
      </c>
    </row>
    <row r="80" spans="1:30" x14ac:dyDescent="0.2">
      <c r="A80" s="264"/>
      <c r="B80" s="264"/>
      <c r="C80" s="42" t="s">
        <v>18</v>
      </c>
      <c r="D80" s="60">
        <f t="shared" ref="D80:Z80" si="89">SUM(ship4_fuel_type1*D$8,ship4_fuel_type2*D$20,ship4_fuel_type3*D$32+ship4_fuel_type4*D$44)</f>
        <v>0</v>
      </c>
      <c r="E80" s="60">
        <f t="shared" si="89"/>
        <v>0</v>
      </c>
      <c r="F80" s="60">
        <f t="shared" si="89"/>
        <v>0</v>
      </c>
      <c r="G80" s="60">
        <f t="shared" si="89"/>
        <v>0</v>
      </c>
      <c r="H80" s="60">
        <f t="shared" si="89"/>
        <v>0</v>
      </c>
      <c r="I80" s="60">
        <f t="shared" si="89"/>
        <v>0</v>
      </c>
      <c r="J80" s="60">
        <f t="shared" si="89"/>
        <v>0</v>
      </c>
      <c r="K80" s="60">
        <f t="shared" si="89"/>
        <v>0</v>
      </c>
      <c r="L80" s="60">
        <f t="shared" si="89"/>
        <v>0</v>
      </c>
      <c r="M80" s="60">
        <f t="shared" si="89"/>
        <v>0</v>
      </c>
      <c r="N80" s="60">
        <f t="shared" si="89"/>
        <v>0</v>
      </c>
      <c r="O80" s="60">
        <f t="shared" si="89"/>
        <v>0</v>
      </c>
      <c r="P80" s="60">
        <f t="shared" si="89"/>
        <v>0</v>
      </c>
      <c r="Q80" s="60">
        <f t="shared" si="89"/>
        <v>0</v>
      </c>
      <c r="R80" s="60">
        <f t="shared" si="89"/>
        <v>0</v>
      </c>
      <c r="S80" s="60">
        <f t="shared" si="89"/>
        <v>0</v>
      </c>
      <c r="T80" s="60">
        <f t="shared" si="89"/>
        <v>0</v>
      </c>
      <c r="U80" s="60">
        <f t="shared" si="89"/>
        <v>0</v>
      </c>
      <c r="V80" s="60">
        <f t="shared" si="89"/>
        <v>0</v>
      </c>
      <c r="W80" s="60">
        <f t="shared" si="89"/>
        <v>0</v>
      </c>
      <c r="X80" s="60">
        <f t="shared" si="89"/>
        <v>0</v>
      </c>
      <c r="Y80" s="60">
        <f t="shared" si="89"/>
        <v>0</v>
      </c>
      <c r="Z80" s="60">
        <f t="shared" si="89"/>
        <v>0</v>
      </c>
      <c r="AB80" s="61">
        <f t="shared" si="77"/>
        <v>0</v>
      </c>
      <c r="AC80" s="60">
        <f t="shared" si="78"/>
        <v>0</v>
      </c>
      <c r="AD80" s="62">
        <f t="shared" si="79"/>
        <v>0</v>
      </c>
    </row>
    <row r="81" spans="1:30" x14ac:dyDescent="0.2">
      <c r="A81" s="264"/>
      <c r="B81" s="264"/>
      <c r="C81" s="42" t="s">
        <v>19</v>
      </c>
      <c r="D81" s="63">
        <f t="shared" ref="D81:Z81" si="90">SUM(ship4_fuel_type1*D$12,ship4_fuel_type2*D$24,ship4_fuel_type3*D$36+ship4_fuel_type4*D$48)</f>
        <v>0</v>
      </c>
      <c r="E81" s="63">
        <f t="shared" si="90"/>
        <v>0</v>
      </c>
      <c r="F81" s="63">
        <f t="shared" si="90"/>
        <v>0</v>
      </c>
      <c r="G81" s="63">
        <f t="shared" si="90"/>
        <v>0</v>
      </c>
      <c r="H81" s="63">
        <f t="shared" si="90"/>
        <v>0</v>
      </c>
      <c r="I81" s="63">
        <f t="shared" si="90"/>
        <v>0</v>
      </c>
      <c r="J81" s="63">
        <f t="shared" si="90"/>
        <v>0</v>
      </c>
      <c r="K81" s="63">
        <f t="shared" si="90"/>
        <v>0</v>
      </c>
      <c r="L81" s="63">
        <f t="shared" si="90"/>
        <v>0</v>
      </c>
      <c r="M81" s="63">
        <f t="shared" si="90"/>
        <v>0</v>
      </c>
      <c r="N81" s="63">
        <f t="shared" si="90"/>
        <v>0</v>
      </c>
      <c r="O81" s="63">
        <f t="shared" si="90"/>
        <v>0</v>
      </c>
      <c r="P81" s="63">
        <f t="shared" si="90"/>
        <v>0</v>
      </c>
      <c r="Q81" s="63">
        <f t="shared" si="90"/>
        <v>0</v>
      </c>
      <c r="R81" s="63">
        <f t="shared" si="90"/>
        <v>0</v>
      </c>
      <c r="S81" s="63">
        <f t="shared" si="90"/>
        <v>0</v>
      </c>
      <c r="T81" s="63">
        <f t="shared" si="90"/>
        <v>0</v>
      </c>
      <c r="U81" s="63">
        <f t="shared" si="90"/>
        <v>0</v>
      </c>
      <c r="V81" s="63">
        <f t="shared" si="90"/>
        <v>0</v>
      </c>
      <c r="W81" s="63">
        <f t="shared" si="90"/>
        <v>0</v>
      </c>
      <c r="X81" s="63">
        <f t="shared" si="90"/>
        <v>0</v>
      </c>
      <c r="Y81" s="63">
        <f t="shared" si="90"/>
        <v>0</v>
      </c>
      <c r="Z81" s="63">
        <f t="shared" si="90"/>
        <v>0</v>
      </c>
      <c r="AB81" s="64">
        <f t="shared" si="77"/>
        <v>0</v>
      </c>
      <c r="AC81" s="63">
        <f t="shared" si="78"/>
        <v>0</v>
      </c>
      <c r="AD81" s="65">
        <f t="shared" si="79"/>
        <v>0</v>
      </c>
    </row>
    <row r="82" spans="1:30" x14ac:dyDescent="0.2">
      <c r="A82" s="264"/>
      <c r="B82" s="264">
        <f>ship5</f>
        <v>0</v>
      </c>
      <c r="C82" s="42" t="s">
        <v>17</v>
      </c>
      <c r="D82" s="56">
        <f t="shared" ref="D82:Z82" si="91">SUM(ship5_fuel_type1*D$4,ship5_fuel_type2*D$16,ship5_fuel_type3*D$28+ship5_fuel_type4*D$40)</f>
        <v>0</v>
      </c>
      <c r="E82" s="56">
        <f t="shared" si="91"/>
        <v>0</v>
      </c>
      <c r="F82" s="56">
        <f t="shared" si="91"/>
        <v>0</v>
      </c>
      <c r="G82" s="56">
        <f t="shared" si="91"/>
        <v>0</v>
      </c>
      <c r="H82" s="56">
        <f t="shared" si="91"/>
        <v>0</v>
      </c>
      <c r="I82" s="56">
        <f t="shared" si="91"/>
        <v>0</v>
      </c>
      <c r="J82" s="56">
        <f t="shared" si="91"/>
        <v>0</v>
      </c>
      <c r="K82" s="56">
        <f t="shared" si="91"/>
        <v>0</v>
      </c>
      <c r="L82" s="56">
        <f t="shared" si="91"/>
        <v>0</v>
      </c>
      <c r="M82" s="56">
        <f t="shared" si="91"/>
        <v>0</v>
      </c>
      <c r="N82" s="56">
        <f t="shared" si="91"/>
        <v>0</v>
      </c>
      <c r="O82" s="56">
        <f t="shared" si="91"/>
        <v>0</v>
      </c>
      <c r="P82" s="56">
        <f t="shared" si="91"/>
        <v>0</v>
      </c>
      <c r="Q82" s="56">
        <f t="shared" si="91"/>
        <v>0</v>
      </c>
      <c r="R82" s="56">
        <f t="shared" si="91"/>
        <v>0</v>
      </c>
      <c r="S82" s="56">
        <f t="shared" si="91"/>
        <v>0</v>
      </c>
      <c r="T82" s="56">
        <f t="shared" si="91"/>
        <v>0</v>
      </c>
      <c r="U82" s="56">
        <f t="shared" si="91"/>
        <v>0</v>
      </c>
      <c r="V82" s="56">
        <f t="shared" si="91"/>
        <v>0</v>
      </c>
      <c r="W82" s="56">
        <f t="shared" si="91"/>
        <v>0</v>
      </c>
      <c r="X82" s="56">
        <f t="shared" si="91"/>
        <v>0</v>
      </c>
      <c r="Y82" s="56">
        <f t="shared" si="91"/>
        <v>0</v>
      </c>
      <c r="Z82" s="56">
        <f t="shared" si="91"/>
        <v>0</v>
      </c>
      <c r="AB82" s="66">
        <f t="shared" si="77"/>
        <v>0</v>
      </c>
      <c r="AC82" s="56">
        <f t="shared" si="78"/>
        <v>0</v>
      </c>
      <c r="AD82" s="67">
        <f t="shared" si="79"/>
        <v>0</v>
      </c>
    </row>
    <row r="83" spans="1:30" x14ac:dyDescent="0.2">
      <c r="A83" s="264"/>
      <c r="B83" s="264"/>
      <c r="C83" s="42" t="s">
        <v>18</v>
      </c>
      <c r="D83" s="60">
        <f t="shared" ref="D83:Z83" si="92">SUM(ship5_fuel_type1*D$8,ship5_fuel_type2*D$20,ship5_fuel_type3*D$32+ship5_fuel_type4*D$44)</f>
        <v>0</v>
      </c>
      <c r="E83" s="60">
        <f t="shared" si="92"/>
        <v>0</v>
      </c>
      <c r="F83" s="60">
        <f t="shared" si="92"/>
        <v>0</v>
      </c>
      <c r="G83" s="60">
        <f t="shared" si="92"/>
        <v>0</v>
      </c>
      <c r="H83" s="60">
        <f t="shared" si="92"/>
        <v>0</v>
      </c>
      <c r="I83" s="60">
        <f t="shared" si="92"/>
        <v>0</v>
      </c>
      <c r="J83" s="60">
        <f t="shared" si="92"/>
        <v>0</v>
      </c>
      <c r="K83" s="60">
        <f t="shared" si="92"/>
        <v>0</v>
      </c>
      <c r="L83" s="60">
        <f t="shared" si="92"/>
        <v>0</v>
      </c>
      <c r="M83" s="60">
        <f t="shared" si="92"/>
        <v>0</v>
      </c>
      <c r="N83" s="60">
        <f t="shared" si="92"/>
        <v>0</v>
      </c>
      <c r="O83" s="60">
        <f t="shared" si="92"/>
        <v>0</v>
      </c>
      <c r="P83" s="60">
        <f t="shared" si="92"/>
        <v>0</v>
      </c>
      <c r="Q83" s="60">
        <f t="shared" si="92"/>
        <v>0</v>
      </c>
      <c r="R83" s="60">
        <f t="shared" si="92"/>
        <v>0</v>
      </c>
      <c r="S83" s="60">
        <f t="shared" si="92"/>
        <v>0</v>
      </c>
      <c r="T83" s="60">
        <f t="shared" si="92"/>
        <v>0</v>
      </c>
      <c r="U83" s="60">
        <f t="shared" si="92"/>
        <v>0</v>
      </c>
      <c r="V83" s="60">
        <f t="shared" si="92"/>
        <v>0</v>
      </c>
      <c r="W83" s="60">
        <f t="shared" si="92"/>
        <v>0</v>
      </c>
      <c r="X83" s="60">
        <f t="shared" si="92"/>
        <v>0</v>
      </c>
      <c r="Y83" s="60">
        <f t="shared" si="92"/>
        <v>0</v>
      </c>
      <c r="Z83" s="60">
        <f t="shared" si="92"/>
        <v>0</v>
      </c>
      <c r="AB83" s="61">
        <f t="shared" si="77"/>
        <v>0</v>
      </c>
      <c r="AC83" s="60">
        <f t="shared" si="78"/>
        <v>0</v>
      </c>
      <c r="AD83" s="62">
        <f t="shared" si="79"/>
        <v>0</v>
      </c>
    </row>
    <row r="84" spans="1:30" x14ac:dyDescent="0.2">
      <c r="A84" s="264"/>
      <c r="B84" s="264"/>
      <c r="C84" s="42" t="s">
        <v>19</v>
      </c>
      <c r="D84" s="63">
        <f t="shared" ref="D84:Z84" si="93">SUM(ship5_fuel_type1*D$12,ship5_fuel_type2*D$24,ship5_fuel_type3*D$36+ship5_fuel_type4*D$48)</f>
        <v>0</v>
      </c>
      <c r="E84" s="63">
        <f t="shared" si="93"/>
        <v>0</v>
      </c>
      <c r="F84" s="63">
        <f t="shared" si="93"/>
        <v>0</v>
      </c>
      <c r="G84" s="63">
        <f t="shared" si="93"/>
        <v>0</v>
      </c>
      <c r="H84" s="63">
        <f t="shared" si="93"/>
        <v>0</v>
      </c>
      <c r="I84" s="63">
        <f t="shared" si="93"/>
        <v>0</v>
      </c>
      <c r="J84" s="63">
        <f t="shared" si="93"/>
        <v>0</v>
      </c>
      <c r="K84" s="63">
        <f t="shared" si="93"/>
        <v>0</v>
      </c>
      <c r="L84" s="63">
        <f t="shared" si="93"/>
        <v>0</v>
      </c>
      <c r="M84" s="63">
        <f t="shared" si="93"/>
        <v>0</v>
      </c>
      <c r="N84" s="63">
        <f t="shared" si="93"/>
        <v>0</v>
      </c>
      <c r="O84" s="63">
        <f t="shared" si="93"/>
        <v>0</v>
      </c>
      <c r="P84" s="63">
        <f t="shared" si="93"/>
        <v>0</v>
      </c>
      <c r="Q84" s="63">
        <f t="shared" si="93"/>
        <v>0</v>
      </c>
      <c r="R84" s="63">
        <f t="shared" si="93"/>
        <v>0</v>
      </c>
      <c r="S84" s="63">
        <f t="shared" si="93"/>
        <v>0</v>
      </c>
      <c r="T84" s="63">
        <f t="shared" si="93"/>
        <v>0</v>
      </c>
      <c r="U84" s="63">
        <f t="shared" si="93"/>
        <v>0</v>
      </c>
      <c r="V84" s="63">
        <f t="shared" si="93"/>
        <v>0</v>
      </c>
      <c r="W84" s="63">
        <f t="shared" si="93"/>
        <v>0</v>
      </c>
      <c r="X84" s="63">
        <f t="shared" si="93"/>
        <v>0</v>
      </c>
      <c r="Y84" s="63">
        <f t="shared" si="93"/>
        <v>0</v>
      </c>
      <c r="Z84" s="63">
        <f t="shared" si="93"/>
        <v>0</v>
      </c>
      <c r="AB84" s="64">
        <f t="shared" si="77"/>
        <v>0</v>
      </c>
      <c r="AC84" s="63">
        <f t="shared" si="78"/>
        <v>0</v>
      </c>
      <c r="AD84" s="65">
        <f t="shared" si="79"/>
        <v>0</v>
      </c>
    </row>
    <row r="85" spans="1:30" x14ac:dyDescent="0.2">
      <c r="A85" s="264"/>
      <c r="B85" s="264">
        <f>ship6</f>
        <v>0</v>
      </c>
      <c r="C85" s="42" t="s">
        <v>17</v>
      </c>
      <c r="D85" s="56">
        <f t="shared" ref="D85:Z85" si="94">SUM(ship6_fuel_type1*D$4,ship6_fuel_type2*D$16,ship6_fuel_type3*D$28+ship6_fuel_type4*D$40)</f>
        <v>0</v>
      </c>
      <c r="E85" s="56">
        <f t="shared" si="94"/>
        <v>0</v>
      </c>
      <c r="F85" s="56">
        <f t="shared" si="94"/>
        <v>0</v>
      </c>
      <c r="G85" s="56">
        <f t="shared" si="94"/>
        <v>0</v>
      </c>
      <c r="H85" s="56">
        <f t="shared" si="94"/>
        <v>0</v>
      </c>
      <c r="I85" s="56">
        <f t="shared" si="94"/>
        <v>0</v>
      </c>
      <c r="J85" s="56">
        <f t="shared" si="94"/>
        <v>0</v>
      </c>
      <c r="K85" s="56">
        <f t="shared" si="94"/>
        <v>0</v>
      </c>
      <c r="L85" s="56">
        <f t="shared" si="94"/>
        <v>0</v>
      </c>
      <c r="M85" s="56">
        <f t="shared" si="94"/>
        <v>0</v>
      </c>
      <c r="N85" s="56">
        <f t="shared" si="94"/>
        <v>0</v>
      </c>
      <c r="O85" s="56">
        <f t="shared" si="94"/>
        <v>0</v>
      </c>
      <c r="P85" s="56">
        <f t="shared" si="94"/>
        <v>0</v>
      </c>
      <c r="Q85" s="56">
        <f t="shared" si="94"/>
        <v>0</v>
      </c>
      <c r="R85" s="56">
        <f t="shared" si="94"/>
        <v>0</v>
      </c>
      <c r="S85" s="56">
        <f t="shared" si="94"/>
        <v>0</v>
      </c>
      <c r="T85" s="56">
        <f t="shared" si="94"/>
        <v>0</v>
      </c>
      <c r="U85" s="56">
        <f t="shared" si="94"/>
        <v>0</v>
      </c>
      <c r="V85" s="56">
        <f t="shared" si="94"/>
        <v>0</v>
      </c>
      <c r="W85" s="56">
        <f t="shared" si="94"/>
        <v>0</v>
      </c>
      <c r="X85" s="56">
        <f t="shared" si="94"/>
        <v>0</v>
      </c>
      <c r="Y85" s="56">
        <f t="shared" si="94"/>
        <v>0</v>
      </c>
      <c r="Z85" s="56">
        <f t="shared" si="94"/>
        <v>0</v>
      </c>
      <c r="AB85" s="66">
        <f t="shared" si="77"/>
        <v>0</v>
      </c>
      <c r="AC85" s="56">
        <f t="shared" si="78"/>
        <v>0</v>
      </c>
      <c r="AD85" s="67">
        <f t="shared" si="79"/>
        <v>0</v>
      </c>
    </row>
    <row r="86" spans="1:30" x14ac:dyDescent="0.2">
      <c r="A86" s="264"/>
      <c r="B86" s="264"/>
      <c r="C86" s="42" t="s">
        <v>18</v>
      </c>
      <c r="D86" s="60">
        <f t="shared" ref="D86:Z86" si="95">SUM(ship6_fuel_type1*D$8,ship6_fuel_type2*D$20,ship6_fuel_type3*D$32+ship6_fuel_type4*D$44)</f>
        <v>0</v>
      </c>
      <c r="E86" s="60">
        <f t="shared" si="95"/>
        <v>0</v>
      </c>
      <c r="F86" s="60">
        <f t="shared" si="95"/>
        <v>0</v>
      </c>
      <c r="G86" s="60">
        <f t="shared" si="95"/>
        <v>0</v>
      </c>
      <c r="H86" s="60">
        <f t="shared" si="95"/>
        <v>0</v>
      </c>
      <c r="I86" s="60">
        <f t="shared" si="95"/>
        <v>0</v>
      </c>
      <c r="J86" s="60">
        <f t="shared" si="95"/>
        <v>0</v>
      </c>
      <c r="K86" s="60">
        <f t="shared" si="95"/>
        <v>0</v>
      </c>
      <c r="L86" s="60">
        <f t="shared" si="95"/>
        <v>0</v>
      </c>
      <c r="M86" s="60">
        <f t="shared" si="95"/>
        <v>0</v>
      </c>
      <c r="N86" s="60">
        <f t="shared" si="95"/>
        <v>0</v>
      </c>
      <c r="O86" s="60">
        <f t="shared" si="95"/>
        <v>0</v>
      </c>
      <c r="P86" s="60">
        <f t="shared" si="95"/>
        <v>0</v>
      </c>
      <c r="Q86" s="60">
        <f t="shared" si="95"/>
        <v>0</v>
      </c>
      <c r="R86" s="60">
        <f t="shared" si="95"/>
        <v>0</v>
      </c>
      <c r="S86" s="60">
        <f t="shared" si="95"/>
        <v>0</v>
      </c>
      <c r="T86" s="60">
        <f t="shared" si="95"/>
        <v>0</v>
      </c>
      <c r="U86" s="60">
        <f t="shared" si="95"/>
        <v>0</v>
      </c>
      <c r="V86" s="60">
        <f t="shared" si="95"/>
        <v>0</v>
      </c>
      <c r="W86" s="60">
        <f t="shared" si="95"/>
        <v>0</v>
      </c>
      <c r="X86" s="60">
        <f t="shared" si="95"/>
        <v>0</v>
      </c>
      <c r="Y86" s="60">
        <f t="shared" si="95"/>
        <v>0</v>
      </c>
      <c r="Z86" s="60">
        <f t="shared" si="95"/>
        <v>0</v>
      </c>
      <c r="AB86" s="61">
        <f t="shared" si="77"/>
        <v>0</v>
      </c>
      <c r="AC86" s="60">
        <f t="shared" si="78"/>
        <v>0</v>
      </c>
      <c r="AD86" s="62">
        <f t="shared" si="79"/>
        <v>0</v>
      </c>
    </row>
    <row r="87" spans="1:30" ht="13.5" thickBot="1" x14ac:dyDescent="0.25">
      <c r="A87" s="264"/>
      <c r="B87" s="264"/>
      <c r="C87" s="42" t="s">
        <v>19</v>
      </c>
      <c r="D87" s="63">
        <f t="shared" ref="D87:Z87" si="96">SUM(ship6_fuel_type1*D$12,ship6_fuel_type2*D$24,ship6_fuel_type3*D$36+ship6_fuel_type4*D$48)</f>
        <v>0</v>
      </c>
      <c r="E87" s="63">
        <f t="shared" si="96"/>
        <v>0</v>
      </c>
      <c r="F87" s="63">
        <f t="shared" si="96"/>
        <v>0</v>
      </c>
      <c r="G87" s="63">
        <f t="shared" si="96"/>
        <v>0</v>
      </c>
      <c r="H87" s="63">
        <f t="shared" si="96"/>
        <v>0</v>
      </c>
      <c r="I87" s="63">
        <f t="shared" si="96"/>
        <v>0</v>
      </c>
      <c r="J87" s="63">
        <f t="shared" si="96"/>
        <v>0</v>
      </c>
      <c r="K87" s="63">
        <f t="shared" si="96"/>
        <v>0</v>
      </c>
      <c r="L87" s="63">
        <f t="shared" si="96"/>
        <v>0</v>
      </c>
      <c r="M87" s="63">
        <f t="shared" si="96"/>
        <v>0</v>
      </c>
      <c r="N87" s="63">
        <f t="shared" si="96"/>
        <v>0</v>
      </c>
      <c r="O87" s="63">
        <f t="shared" si="96"/>
        <v>0</v>
      </c>
      <c r="P87" s="63">
        <f t="shared" si="96"/>
        <v>0</v>
      </c>
      <c r="Q87" s="63">
        <f t="shared" si="96"/>
        <v>0</v>
      </c>
      <c r="R87" s="63">
        <f t="shared" si="96"/>
        <v>0</v>
      </c>
      <c r="S87" s="63">
        <f t="shared" si="96"/>
        <v>0</v>
      </c>
      <c r="T87" s="63">
        <f t="shared" si="96"/>
        <v>0</v>
      </c>
      <c r="U87" s="63">
        <f t="shared" si="96"/>
        <v>0</v>
      </c>
      <c r="V87" s="63">
        <f t="shared" si="96"/>
        <v>0</v>
      </c>
      <c r="W87" s="63">
        <f t="shared" si="96"/>
        <v>0</v>
      </c>
      <c r="X87" s="63">
        <f t="shared" si="96"/>
        <v>0</v>
      </c>
      <c r="Y87" s="63">
        <f t="shared" si="96"/>
        <v>0</v>
      </c>
      <c r="Z87" s="63">
        <f t="shared" si="96"/>
        <v>0</v>
      </c>
      <c r="AB87" s="68">
        <f t="shared" si="77"/>
        <v>0</v>
      </c>
      <c r="AC87" s="69">
        <f t="shared" si="78"/>
        <v>0</v>
      </c>
      <c r="AD87" s="70">
        <f t="shared" si="79"/>
        <v>0</v>
      </c>
    </row>
    <row r="88" spans="1:30" x14ac:dyDescent="0.2">
      <c r="A88" s="244" t="s">
        <v>35</v>
      </c>
      <c r="B88" s="244">
        <f>ship1</f>
        <v>0</v>
      </c>
      <c r="C88" s="71" t="s">
        <v>17</v>
      </c>
      <c r="D88" s="56">
        <f t="shared" ref="D88:Z88" si="97">IF(D$2&lt;global0.5,D$59*D70,D$59*(SUM(ship1_fuel_type1*fuel_type1_cal0.5*D$6,ship1_fuel_type2*fuel_type2_cal0.5*D$18,ship1_fuel_type3*fuel_type3_cal0.5*D$30+ship1_fuel_type4*fuel_type4_cal0.5*D$42)))</f>
        <v>0</v>
      </c>
      <c r="E88" s="56">
        <f t="shared" si="97"/>
        <v>0</v>
      </c>
      <c r="F88" s="56">
        <f t="shared" si="97"/>
        <v>0</v>
      </c>
      <c r="G88" s="56">
        <f t="shared" si="97"/>
        <v>0</v>
      </c>
      <c r="H88" s="56">
        <f t="shared" si="97"/>
        <v>0</v>
      </c>
      <c r="I88" s="56">
        <f t="shared" si="97"/>
        <v>0</v>
      </c>
      <c r="J88" s="56">
        <f t="shared" si="97"/>
        <v>0</v>
      </c>
      <c r="K88" s="56">
        <f t="shared" si="97"/>
        <v>0</v>
      </c>
      <c r="L88" s="56">
        <f t="shared" si="97"/>
        <v>0</v>
      </c>
      <c r="M88" s="56">
        <f t="shared" si="97"/>
        <v>0</v>
      </c>
      <c r="N88" s="56">
        <f t="shared" si="97"/>
        <v>0</v>
      </c>
      <c r="O88" s="56">
        <f t="shared" si="97"/>
        <v>0</v>
      </c>
      <c r="P88" s="56">
        <f t="shared" si="97"/>
        <v>0</v>
      </c>
      <c r="Q88" s="56">
        <f t="shared" si="97"/>
        <v>0</v>
      </c>
      <c r="R88" s="56">
        <f t="shared" si="97"/>
        <v>0</v>
      </c>
      <c r="S88" s="56">
        <f t="shared" si="97"/>
        <v>0</v>
      </c>
      <c r="T88" s="56">
        <f t="shared" si="97"/>
        <v>0</v>
      </c>
      <c r="U88" s="56">
        <f t="shared" si="97"/>
        <v>0</v>
      </c>
      <c r="V88" s="56">
        <f t="shared" si="97"/>
        <v>0</v>
      </c>
      <c r="W88" s="56">
        <f t="shared" si="97"/>
        <v>0</v>
      </c>
      <c r="X88" s="56">
        <f t="shared" si="97"/>
        <v>0</v>
      </c>
      <c r="Y88" s="56">
        <f t="shared" si="97"/>
        <v>0</v>
      </c>
      <c r="Z88" s="56">
        <f t="shared" si="97"/>
        <v>0</v>
      </c>
      <c r="AB88" s="57">
        <f t="shared" ref="AB88:AB105" si="98">AVERAGE(D88:E88)</f>
        <v>0</v>
      </c>
      <c r="AC88" s="58">
        <f t="shared" ref="AC88:AC105" si="99">AVERAGE(F88:J88)</f>
        <v>0</v>
      </c>
      <c r="AD88" s="59">
        <f t="shared" ref="AD88:AD105" si="100">AVERAGE(K88:Z88)</f>
        <v>0</v>
      </c>
    </row>
    <row r="89" spans="1:30" x14ac:dyDescent="0.2">
      <c r="A89" s="244"/>
      <c r="B89" s="244"/>
      <c r="C89" s="71" t="s">
        <v>18</v>
      </c>
      <c r="D89" s="60">
        <f t="shared" ref="D89:Z89" si="101">IF(D$2&lt;global0.5,D$59*D71,D$59*(SUM(ship1_fuel_type1*fuel_type1_cal0.5*D$10,ship1_fuel_type2*fuel_type2_cal0.5*D$22,ship1_fuel_type3*fuel_type3_cal0.5*D$34+ship1_fuel_type4*fuel_type4_cal0.5*D$46)))</f>
        <v>0</v>
      </c>
      <c r="E89" s="60">
        <f t="shared" si="101"/>
        <v>0</v>
      </c>
      <c r="F89" s="60">
        <f t="shared" si="101"/>
        <v>0</v>
      </c>
      <c r="G89" s="60">
        <f t="shared" si="101"/>
        <v>0</v>
      </c>
      <c r="H89" s="60">
        <f t="shared" si="101"/>
        <v>0</v>
      </c>
      <c r="I89" s="60">
        <f t="shared" si="101"/>
        <v>0</v>
      </c>
      <c r="J89" s="60">
        <f t="shared" si="101"/>
        <v>0</v>
      </c>
      <c r="K89" s="60">
        <f t="shared" si="101"/>
        <v>0</v>
      </c>
      <c r="L89" s="60">
        <f t="shared" si="101"/>
        <v>0</v>
      </c>
      <c r="M89" s="60">
        <f t="shared" si="101"/>
        <v>0</v>
      </c>
      <c r="N89" s="60">
        <f t="shared" si="101"/>
        <v>0</v>
      </c>
      <c r="O89" s="60">
        <f t="shared" si="101"/>
        <v>0</v>
      </c>
      <c r="P89" s="60">
        <f t="shared" si="101"/>
        <v>0</v>
      </c>
      <c r="Q89" s="60">
        <f t="shared" si="101"/>
        <v>0</v>
      </c>
      <c r="R89" s="60">
        <f t="shared" si="101"/>
        <v>0</v>
      </c>
      <c r="S89" s="60">
        <f t="shared" si="101"/>
        <v>0</v>
      </c>
      <c r="T89" s="60">
        <f t="shared" si="101"/>
        <v>0</v>
      </c>
      <c r="U89" s="60">
        <f t="shared" si="101"/>
        <v>0</v>
      </c>
      <c r="V89" s="60">
        <f t="shared" si="101"/>
        <v>0</v>
      </c>
      <c r="W89" s="60">
        <f t="shared" si="101"/>
        <v>0</v>
      </c>
      <c r="X89" s="60">
        <f t="shared" si="101"/>
        <v>0</v>
      </c>
      <c r="Y89" s="60">
        <f t="shared" si="101"/>
        <v>0</v>
      </c>
      <c r="Z89" s="60">
        <f t="shared" si="101"/>
        <v>0</v>
      </c>
      <c r="AB89" s="61">
        <f t="shared" si="98"/>
        <v>0</v>
      </c>
      <c r="AC89" s="60">
        <f t="shared" si="99"/>
        <v>0</v>
      </c>
      <c r="AD89" s="62">
        <f t="shared" si="100"/>
        <v>0</v>
      </c>
    </row>
    <row r="90" spans="1:30" x14ac:dyDescent="0.2">
      <c r="A90" s="244"/>
      <c r="B90" s="244"/>
      <c r="C90" s="71" t="s">
        <v>19</v>
      </c>
      <c r="D90" s="63">
        <f t="shared" ref="D90:Z90" si="102">IF(D$2&lt;global0.5,D$59*D72,D$59*(SUM(ship1_fuel_type1*fuel_type1_cal0.5*D$14,ship1_fuel_type2*fuel_type2_cal0.5*D$26,ship1_fuel_type3*fuel_type3_cal0.5*D$38+ship1_fuel_type4*fuel_type4_cal0.5*D$50)))</f>
        <v>0</v>
      </c>
      <c r="E90" s="63">
        <f t="shared" si="102"/>
        <v>0</v>
      </c>
      <c r="F90" s="63">
        <f t="shared" si="102"/>
        <v>0</v>
      </c>
      <c r="G90" s="63">
        <f t="shared" si="102"/>
        <v>0</v>
      </c>
      <c r="H90" s="63">
        <f t="shared" si="102"/>
        <v>0</v>
      </c>
      <c r="I90" s="63">
        <f t="shared" si="102"/>
        <v>0</v>
      </c>
      <c r="J90" s="63">
        <f t="shared" si="102"/>
        <v>0</v>
      </c>
      <c r="K90" s="63">
        <f t="shared" si="102"/>
        <v>0</v>
      </c>
      <c r="L90" s="63">
        <f t="shared" si="102"/>
        <v>0</v>
      </c>
      <c r="M90" s="63">
        <f t="shared" si="102"/>
        <v>0</v>
      </c>
      <c r="N90" s="63">
        <f t="shared" si="102"/>
        <v>0</v>
      </c>
      <c r="O90" s="63">
        <f t="shared" si="102"/>
        <v>0</v>
      </c>
      <c r="P90" s="63">
        <f t="shared" si="102"/>
        <v>0</v>
      </c>
      <c r="Q90" s="63">
        <f t="shared" si="102"/>
        <v>0</v>
      </c>
      <c r="R90" s="63">
        <f t="shared" si="102"/>
        <v>0</v>
      </c>
      <c r="S90" s="63">
        <f t="shared" si="102"/>
        <v>0</v>
      </c>
      <c r="T90" s="63">
        <f t="shared" si="102"/>
        <v>0</v>
      </c>
      <c r="U90" s="63">
        <f t="shared" si="102"/>
        <v>0</v>
      </c>
      <c r="V90" s="63">
        <f t="shared" si="102"/>
        <v>0</v>
      </c>
      <c r="W90" s="63">
        <f t="shared" si="102"/>
        <v>0</v>
      </c>
      <c r="X90" s="63">
        <f t="shared" si="102"/>
        <v>0</v>
      </c>
      <c r="Y90" s="63">
        <f t="shared" si="102"/>
        <v>0</v>
      </c>
      <c r="Z90" s="63">
        <f t="shared" si="102"/>
        <v>0</v>
      </c>
      <c r="AB90" s="64">
        <f t="shared" si="98"/>
        <v>0</v>
      </c>
      <c r="AC90" s="63">
        <f t="shared" si="99"/>
        <v>0</v>
      </c>
      <c r="AD90" s="65">
        <f t="shared" si="100"/>
        <v>0</v>
      </c>
    </row>
    <row r="91" spans="1:30" x14ac:dyDescent="0.2">
      <c r="A91" s="244"/>
      <c r="B91" s="244">
        <f>ship2</f>
        <v>0</v>
      </c>
      <c r="C91" s="71" t="s">
        <v>17</v>
      </c>
      <c r="D91" s="56">
        <f t="shared" ref="D91:Z91" si="103">IF(D$2&lt;global0.5,D$61*D73,D$61*(SUM(ship2_fuel_type1*fuel_type1_cal0.5*D$6,ship2_fuel_type2*fuel_type2_cal0.5*D$18,ship2_fuel_type3*fuel_type3_cal0.5*D$30+ship2_fuel_type4*fuel_type4_cal0.5*D$42)))</f>
        <v>0</v>
      </c>
      <c r="E91" s="56">
        <f t="shared" si="103"/>
        <v>0</v>
      </c>
      <c r="F91" s="56">
        <f t="shared" si="103"/>
        <v>0</v>
      </c>
      <c r="G91" s="56">
        <f t="shared" si="103"/>
        <v>0</v>
      </c>
      <c r="H91" s="56">
        <f t="shared" si="103"/>
        <v>0</v>
      </c>
      <c r="I91" s="56">
        <f t="shared" si="103"/>
        <v>0</v>
      </c>
      <c r="J91" s="56">
        <f t="shared" si="103"/>
        <v>0</v>
      </c>
      <c r="K91" s="56">
        <f t="shared" si="103"/>
        <v>0</v>
      </c>
      <c r="L91" s="56">
        <f t="shared" si="103"/>
        <v>0</v>
      </c>
      <c r="M91" s="56">
        <f t="shared" si="103"/>
        <v>0</v>
      </c>
      <c r="N91" s="56">
        <f t="shared" si="103"/>
        <v>0</v>
      </c>
      <c r="O91" s="56">
        <f t="shared" si="103"/>
        <v>0</v>
      </c>
      <c r="P91" s="56">
        <f t="shared" si="103"/>
        <v>0</v>
      </c>
      <c r="Q91" s="56">
        <f t="shared" si="103"/>
        <v>0</v>
      </c>
      <c r="R91" s="56">
        <f t="shared" si="103"/>
        <v>0</v>
      </c>
      <c r="S91" s="56">
        <f t="shared" si="103"/>
        <v>0</v>
      </c>
      <c r="T91" s="56">
        <f t="shared" si="103"/>
        <v>0</v>
      </c>
      <c r="U91" s="56">
        <f t="shared" si="103"/>
        <v>0</v>
      </c>
      <c r="V91" s="56">
        <f t="shared" si="103"/>
        <v>0</v>
      </c>
      <c r="W91" s="56">
        <f t="shared" si="103"/>
        <v>0</v>
      </c>
      <c r="X91" s="56">
        <f t="shared" si="103"/>
        <v>0</v>
      </c>
      <c r="Y91" s="56">
        <f t="shared" si="103"/>
        <v>0</v>
      </c>
      <c r="Z91" s="56">
        <f t="shared" si="103"/>
        <v>0</v>
      </c>
      <c r="AB91" s="66">
        <f t="shared" si="98"/>
        <v>0</v>
      </c>
      <c r="AC91" s="56">
        <f t="shared" si="99"/>
        <v>0</v>
      </c>
      <c r="AD91" s="67">
        <f t="shared" si="100"/>
        <v>0</v>
      </c>
    </row>
    <row r="92" spans="1:30" x14ac:dyDescent="0.2">
      <c r="A92" s="244"/>
      <c r="B92" s="244"/>
      <c r="C92" s="71" t="s">
        <v>18</v>
      </c>
      <c r="D92" s="60">
        <f t="shared" ref="D92:Z92" si="104">IF(D$2&lt;global0.5,D$61*D74,D$61*(SUM(ship2_fuel_type1*fuel_type1_cal0.5*D$10,ship2_fuel_type2*fuel_type2_cal0.5*D$22,ship2_fuel_type3*fuel_type3_cal0.5*D$34+ship2_fuel_type4*fuel_type4_cal0.5*D$46)))</f>
        <v>0</v>
      </c>
      <c r="E92" s="60">
        <f t="shared" si="104"/>
        <v>0</v>
      </c>
      <c r="F92" s="60">
        <f t="shared" si="104"/>
        <v>0</v>
      </c>
      <c r="G92" s="60">
        <f t="shared" si="104"/>
        <v>0</v>
      </c>
      <c r="H92" s="60">
        <f t="shared" si="104"/>
        <v>0</v>
      </c>
      <c r="I92" s="60">
        <f t="shared" si="104"/>
        <v>0</v>
      </c>
      <c r="J92" s="60">
        <f t="shared" si="104"/>
        <v>0</v>
      </c>
      <c r="K92" s="60">
        <f t="shared" si="104"/>
        <v>0</v>
      </c>
      <c r="L92" s="60">
        <f t="shared" si="104"/>
        <v>0</v>
      </c>
      <c r="M92" s="60">
        <f t="shared" si="104"/>
        <v>0</v>
      </c>
      <c r="N92" s="60">
        <f t="shared" si="104"/>
        <v>0</v>
      </c>
      <c r="O92" s="60">
        <f t="shared" si="104"/>
        <v>0</v>
      </c>
      <c r="P92" s="60">
        <f t="shared" si="104"/>
        <v>0</v>
      </c>
      <c r="Q92" s="60">
        <f t="shared" si="104"/>
        <v>0</v>
      </c>
      <c r="R92" s="60">
        <f t="shared" si="104"/>
        <v>0</v>
      </c>
      <c r="S92" s="60">
        <f t="shared" si="104"/>
        <v>0</v>
      </c>
      <c r="T92" s="60">
        <f t="shared" si="104"/>
        <v>0</v>
      </c>
      <c r="U92" s="60">
        <f t="shared" si="104"/>
        <v>0</v>
      </c>
      <c r="V92" s="60">
        <f t="shared" si="104"/>
        <v>0</v>
      </c>
      <c r="W92" s="60">
        <f t="shared" si="104"/>
        <v>0</v>
      </c>
      <c r="X92" s="60">
        <f t="shared" si="104"/>
        <v>0</v>
      </c>
      <c r="Y92" s="60">
        <f t="shared" si="104"/>
        <v>0</v>
      </c>
      <c r="Z92" s="60">
        <f t="shared" si="104"/>
        <v>0</v>
      </c>
      <c r="AB92" s="61">
        <f t="shared" si="98"/>
        <v>0</v>
      </c>
      <c r="AC92" s="60">
        <f t="shared" si="99"/>
        <v>0</v>
      </c>
      <c r="AD92" s="62">
        <f t="shared" si="100"/>
        <v>0</v>
      </c>
    </row>
    <row r="93" spans="1:30" x14ac:dyDescent="0.2">
      <c r="A93" s="244"/>
      <c r="B93" s="244"/>
      <c r="C93" s="71" t="s">
        <v>19</v>
      </c>
      <c r="D93" s="63">
        <f t="shared" ref="D93:Z93" si="105">IF(D$2&lt;global0.5,D$61*D75,D$61*(SUM(ship2_fuel_type1*fuel_type1_cal0.5*D$14,ship2_fuel_type2*fuel_type2_cal0.5*D$26,ship2_fuel_type3*fuel_type3_cal0.5*D$38+ship2_fuel_type4*fuel_type4_cal0.5*D$50)))</f>
        <v>0</v>
      </c>
      <c r="E93" s="63">
        <f t="shared" si="105"/>
        <v>0</v>
      </c>
      <c r="F93" s="63">
        <f t="shared" si="105"/>
        <v>0</v>
      </c>
      <c r="G93" s="63">
        <f t="shared" si="105"/>
        <v>0</v>
      </c>
      <c r="H93" s="63">
        <f t="shared" si="105"/>
        <v>0</v>
      </c>
      <c r="I93" s="63">
        <f t="shared" si="105"/>
        <v>0</v>
      </c>
      <c r="J93" s="63">
        <f t="shared" si="105"/>
        <v>0</v>
      </c>
      <c r="K93" s="63">
        <f t="shared" si="105"/>
        <v>0</v>
      </c>
      <c r="L93" s="63">
        <f t="shared" si="105"/>
        <v>0</v>
      </c>
      <c r="M93" s="63">
        <f t="shared" si="105"/>
        <v>0</v>
      </c>
      <c r="N93" s="63">
        <f t="shared" si="105"/>
        <v>0</v>
      </c>
      <c r="O93" s="63">
        <f t="shared" si="105"/>
        <v>0</v>
      </c>
      <c r="P93" s="63">
        <f t="shared" si="105"/>
        <v>0</v>
      </c>
      <c r="Q93" s="63">
        <f t="shared" si="105"/>
        <v>0</v>
      </c>
      <c r="R93" s="63">
        <f t="shared" si="105"/>
        <v>0</v>
      </c>
      <c r="S93" s="63">
        <f t="shared" si="105"/>
        <v>0</v>
      </c>
      <c r="T93" s="63">
        <f t="shared" si="105"/>
        <v>0</v>
      </c>
      <c r="U93" s="63">
        <f t="shared" si="105"/>
        <v>0</v>
      </c>
      <c r="V93" s="63">
        <f t="shared" si="105"/>
        <v>0</v>
      </c>
      <c r="W93" s="63">
        <f t="shared" si="105"/>
        <v>0</v>
      </c>
      <c r="X93" s="63">
        <f t="shared" si="105"/>
        <v>0</v>
      </c>
      <c r="Y93" s="63">
        <f t="shared" si="105"/>
        <v>0</v>
      </c>
      <c r="Z93" s="63">
        <f t="shared" si="105"/>
        <v>0</v>
      </c>
      <c r="AB93" s="64">
        <f t="shared" si="98"/>
        <v>0</v>
      </c>
      <c r="AC93" s="63">
        <f t="shared" si="99"/>
        <v>0</v>
      </c>
      <c r="AD93" s="65">
        <f t="shared" si="100"/>
        <v>0</v>
      </c>
    </row>
    <row r="94" spans="1:30" x14ac:dyDescent="0.2">
      <c r="A94" s="244"/>
      <c r="B94" s="244">
        <f>ship3</f>
        <v>0</v>
      </c>
      <c r="C94" s="71" t="s">
        <v>17</v>
      </c>
      <c r="D94" s="56">
        <f t="shared" ref="D94:Z94" si="106">IF(D$2&lt;global0.5,D$63*D76,D$63*(SUM(ship3_fuel_type1*fuel_type1_cal0.5*D$6,ship3_fuel_type2*fuel_type2_cal0.5*D$18,ship3_fuel_type3*fuel_type3_cal0.5*D$30+ship3_fuel_type4*fuel_type4_cal0.5*D$42)))</f>
        <v>0</v>
      </c>
      <c r="E94" s="56">
        <f t="shared" si="106"/>
        <v>0</v>
      </c>
      <c r="F94" s="56">
        <f t="shared" si="106"/>
        <v>0</v>
      </c>
      <c r="G94" s="56">
        <f t="shared" si="106"/>
        <v>0</v>
      </c>
      <c r="H94" s="56">
        <f t="shared" si="106"/>
        <v>0</v>
      </c>
      <c r="I94" s="56">
        <f t="shared" si="106"/>
        <v>0</v>
      </c>
      <c r="J94" s="56">
        <f t="shared" si="106"/>
        <v>0</v>
      </c>
      <c r="K94" s="56">
        <f t="shared" si="106"/>
        <v>0</v>
      </c>
      <c r="L94" s="56">
        <f t="shared" si="106"/>
        <v>0</v>
      </c>
      <c r="M94" s="56">
        <f t="shared" si="106"/>
        <v>0</v>
      </c>
      <c r="N94" s="56">
        <f t="shared" si="106"/>
        <v>0</v>
      </c>
      <c r="O94" s="56">
        <f t="shared" si="106"/>
        <v>0</v>
      </c>
      <c r="P94" s="56">
        <f t="shared" si="106"/>
        <v>0</v>
      </c>
      <c r="Q94" s="56">
        <f t="shared" si="106"/>
        <v>0</v>
      </c>
      <c r="R94" s="56">
        <f t="shared" si="106"/>
        <v>0</v>
      </c>
      <c r="S94" s="56">
        <f t="shared" si="106"/>
        <v>0</v>
      </c>
      <c r="T94" s="56">
        <f t="shared" si="106"/>
        <v>0</v>
      </c>
      <c r="U94" s="56">
        <f t="shared" si="106"/>
        <v>0</v>
      </c>
      <c r="V94" s="56">
        <f t="shared" si="106"/>
        <v>0</v>
      </c>
      <c r="W94" s="56">
        <f t="shared" si="106"/>
        <v>0</v>
      </c>
      <c r="X94" s="56">
        <f t="shared" si="106"/>
        <v>0</v>
      </c>
      <c r="Y94" s="56">
        <f t="shared" si="106"/>
        <v>0</v>
      </c>
      <c r="Z94" s="56">
        <f t="shared" si="106"/>
        <v>0</v>
      </c>
      <c r="AB94" s="66">
        <f t="shared" si="98"/>
        <v>0</v>
      </c>
      <c r="AC94" s="56">
        <f t="shared" si="99"/>
        <v>0</v>
      </c>
      <c r="AD94" s="67">
        <f t="shared" si="100"/>
        <v>0</v>
      </c>
    </row>
    <row r="95" spans="1:30" x14ac:dyDescent="0.2">
      <c r="A95" s="244"/>
      <c r="B95" s="244"/>
      <c r="C95" s="71" t="s">
        <v>18</v>
      </c>
      <c r="D95" s="60">
        <f t="shared" ref="D95:Z95" si="107">IF(D$2&lt;global0.5,D$63*D77,D$63*(SUM(ship3_fuel_type1*fuel_type1_cal0.5*D$10,ship3_fuel_type2*fuel_type2_cal0.5*D$22,ship3_fuel_type3*fuel_type3_cal0.5*D$34+ship3_fuel_type4*fuel_type4_cal0.5*D$46)))</f>
        <v>0</v>
      </c>
      <c r="E95" s="60">
        <f t="shared" si="107"/>
        <v>0</v>
      </c>
      <c r="F95" s="60">
        <f t="shared" si="107"/>
        <v>0</v>
      </c>
      <c r="G95" s="60">
        <f t="shared" si="107"/>
        <v>0</v>
      </c>
      <c r="H95" s="60">
        <f t="shared" si="107"/>
        <v>0</v>
      </c>
      <c r="I95" s="60">
        <f t="shared" si="107"/>
        <v>0</v>
      </c>
      <c r="J95" s="60">
        <f t="shared" si="107"/>
        <v>0</v>
      </c>
      <c r="K95" s="60">
        <f t="shared" si="107"/>
        <v>0</v>
      </c>
      <c r="L95" s="60">
        <f t="shared" si="107"/>
        <v>0</v>
      </c>
      <c r="M95" s="60">
        <f t="shared" si="107"/>
        <v>0</v>
      </c>
      <c r="N95" s="60">
        <f t="shared" si="107"/>
        <v>0</v>
      </c>
      <c r="O95" s="60">
        <f t="shared" si="107"/>
        <v>0</v>
      </c>
      <c r="P95" s="60">
        <f t="shared" si="107"/>
        <v>0</v>
      </c>
      <c r="Q95" s="60">
        <f t="shared" si="107"/>
        <v>0</v>
      </c>
      <c r="R95" s="60">
        <f t="shared" si="107"/>
        <v>0</v>
      </c>
      <c r="S95" s="60">
        <f t="shared" si="107"/>
        <v>0</v>
      </c>
      <c r="T95" s="60">
        <f t="shared" si="107"/>
        <v>0</v>
      </c>
      <c r="U95" s="60">
        <f t="shared" si="107"/>
        <v>0</v>
      </c>
      <c r="V95" s="60">
        <f t="shared" si="107"/>
        <v>0</v>
      </c>
      <c r="W95" s="60">
        <f t="shared" si="107"/>
        <v>0</v>
      </c>
      <c r="X95" s="60">
        <f t="shared" si="107"/>
        <v>0</v>
      </c>
      <c r="Y95" s="60">
        <f t="shared" si="107"/>
        <v>0</v>
      </c>
      <c r="Z95" s="60">
        <f t="shared" si="107"/>
        <v>0</v>
      </c>
      <c r="AB95" s="61">
        <f t="shared" si="98"/>
        <v>0</v>
      </c>
      <c r="AC95" s="60">
        <f t="shared" si="99"/>
        <v>0</v>
      </c>
      <c r="AD95" s="62">
        <f t="shared" si="100"/>
        <v>0</v>
      </c>
    </row>
    <row r="96" spans="1:30" x14ac:dyDescent="0.2">
      <c r="A96" s="244"/>
      <c r="B96" s="244"/>
      <c r="C96" s="71" t="s">
        <v>19</v>
      </c>
      <c r="D96" s="63">
        <f t="shared" ref="D96:Z96" si="108">IF(D$2&lt;global0.5,D$63*D78,D$63*(SUM(ship3_fuel_type1*fuel_type1_cal0.5*D$14,ship3_fuel_type2*fuel_type2_cal0.5*D$26,ship3_fuel_type3*fuel_type3_cal0.5*D$38+ship3_fuel_type4*fuel_type4_cal0.5*D$50)))</f>
        <v>0</v>
      </c>
      <c r="E96" s="63">
        <f t="shared" si="108"/>
        <v>0</v>
      </c>
      <c r="F96" s="63">
        <f t="shared" si="108"/>
        <v>0</v>
      </c>
      <c r="G96" s="63">
        <f t="shared" si="108"/>
        <v>0</v>
      </c>
      <c r="H96" s="63">
        <f t="shared" si="108"/>
        <v>0</v>
      </c>
      <c r="I96" s="63">
        <f t="shared" si="108"/>
        <v>0</v>
      </c>
      <c r="J96" s="63">
        <f t="shared" si="108"/>
        <v>0</v>
      </c>
      <c r="K96" s="63">
        <f t="shared" si="108"/>
        <v>0</v>
      </c>
      <c r="L96" s="63">
        <f t="shared" si="108"/>
        <v>0</v>
      </c>
      <c r="M96" s="63">
        <f t="shared" si="108"/>
        <v>0</v>
      </c>
      <c r="N96" s="63">
        <f t="shared" si="108"/>
        <v>0</v>
      </c>
      <c r="O96" s="63">
        <f t="shared" si="108"/>
        <v>0</v>
      </c>
      <c r="P96" s="63">
        <f t="shared" si="108"/>
        <v>0</v>
      </c>
      <c r="Q96" s="63">
        <f t="shared" si="108"/>
        <v>0</v>
      </c>
      <c r="R96" s="63">
        <f t="shared" si="108"/>
        <v>0</v>
      </c>
      <c r="S96" s="63">
        <f t="shared" si="108"/>
        <v>0</v>
      </c>
      <c r="T96" s="63">
        <f t="shared" si="108"/>
        <v>0</v>
      </c>
      <c r="U96" s="63">
        <f t="shared" si="108"/>
        <v>0</v>
      </c>
      <c r="V96" s="63">
        <f t="shared" si="108"/>
        <v>0</v>
      </c>
      <c r="W96" s="63">
        <f t="shared" si="108"/>
        <v>0</v>
      </c>
      <c r="X96" s="63">
        <f t="shared" si="108"/>
        <v>0</v>
      </c>
      <c r="Y96" s="63">
        <f t="shared" si="108"/>
        <v>0</v>
      </c>
      <c r="Z96" s="63">
        <f t="shared" si="108"/>
        <v>0</v>
      </c>
      <c r="AB96" s="64">
        <f t="shared" si="98"/>
        <v>0</v>
      </c>
      <c r="AC96" s="63">
        <f t="shared" si="99"/>
        <v>0</v>
      </c>
      <c r="AD96" s="65">
        <f t="shared" si="100"/>
        <v>0</v>
      </c>
    </row>
    <row r="97" spans="1:30" x14ac:dyDescent="0.2">
      <c r="A97" s="244"/>
      <c r="B97" s="244">
        <f>ship4</f>
        <v>0</v>
      </c>
      <c r="C97" s="71" t="s">
        <v>17</v>
      </c>
      <c r="D97" s="56">
        <f t="shared" ref="D97:Z97" si="109">IF(D$2&lt;global0.5,D$65*D79,D$65*(SUM(ship4_fuel_type1*fuel_type1_cal0.5*D$6,ship4_fuel_type2*fuel_type2_cal0.5*D$18,ship4_fuel_type3*fuel_type3_cal0.5*D$30+ship4_fuel_type4*fuel_type4_cal0.5*D$42)))</f>
        <v>0</v>
      </c>
      <c r="E97" s="56">
        <f t="shared" si="109"/>
        <v>0</v>
      </c>
      <c r="F97" s="56">
        <f t="shared" si="109"/>
        <v>0</v>
      </c>
      <c r="G97" s="56">
        <f t="shared" si="109"/>
        <v>0</v>
      </c>
      <c r="H97" s="56">
        <f t="shared" si="109"/>
        <v>0</v>
      </c>
      <c r="I97" s="56">
        <f t="shared" si="109"/>
        <v>0</v>
      </c>
      <c r="J97" s="56">
        <f t="shared" si="109"/>
        <v>0</v>
      </c>
      <c r="K97" s="56">
        <f t="shared" si="109"/>
        <v>0</v>
      </c>
      <c r="L97" s="56">
        <f t="shared" si="109"/>
        <v>0</v>
      </c>
      <c r="M97" s="56">
        <f t="shared" si="109"/>
        <v>0</v>
      </c>
      <c r="N97" s="56">
        <f t="shared" si="109"/>
        <v>0</v>
      </c>
      <c r="O97" s="56">
        <f t="shared" si="109"/>
        <v>0</v>
      </c>
      <c r="P97" s="56">
        <f t="shared" si="109"/>
        <v>0</v>
      </c>
      <c r="Q97" s="56">
        <f t="shared" si="109"/>
        <v>0</v>
      </c>
      <c r="R97" s="56">
        <f t="shared" si="109"/>
        <v>0</v>
      </c>
      <c r="S97" s="56">
        <f t="shared" si="109"/>
        <v>0</v>
      </c>
      <c r="T97" s="56">
        <f t="shared" si="109"/>
        <v>0</v>
      </c>
      <c r="U97" s="56">
        <f t="shared" si="109"/>
        <v>0</v>
      </c>
      <c r="V97" s="56">
        <f t="shared" si="109"/>
        <v>0</v>
      </c>
      <c r="W97" s="56">
        <f t="shared" si="109"/>
        <v>0</v>
      </c>
      <c r="X97" s="56">
        <f t="shared" si="109"/>
        <v>0</v>
      </c>
      <c r="Y97" s="56">
        <f t="shared" si="109"/>
        <v>0</v>
      </c>
      <c r="Z97" s="56">
        <f t="shared" si="109"/>
        <v>0</v>
      </c>
      <c r="AB97" s="66">
        <f t="shared" si="98"/>
        <v>0</v>
      </c>
      <c r="AC97" s="56">
        <f t="shared" si="99"/>
        <v>0</v>
      </c>
      <c r="AD97" s="67">
        <f t="shared" si="100"/>
        <v>0</v>
      </c>
    </row>
    <row r="98" spans="1:30" x14ac:dyDescent="0.2">
      <c r="A98" s="244"/>
      <c r="B98" s="244"/>
      <c r="C98" s="71" t="s">
        <v>18</v>
      </c>
      <c r="D98" s="60">
        <f t="shared" ref="D98:Z98" si="110">IF(D$2&lt;global0.5,D$65*D80,D$65*(SUM(ship4_fuel_type1*fuel_type1_cal0.5*D$10,ship4_fuel_type2*fuel_type2_cal0.5*D$22,ship4_fuel_type3*fuel_type3_cal0.5*D$34+ship4_fuel_type4*fuel_type4_cal0.5*D$46)))</f>
        <v>0</v>
      </c>
      <c r="E98" s="60">
        <f t="shared" si="110"/>
        <v>0</v>
      </c>
      <c r="F98" s="60">
        <f t="shared" si="110"/>
        <v>0</v>
      </c>
      <c r="G98" s="60">
        <f t="shared" si="110"/>
        <v>0</v>
      </c>
      <c r="H98" s="60">
        <f t="shared" si="110"/>
        <v>0</v>
      </c>
      <c r="I98" s="60">
        <f t="shared" si="110"/>
        <v>0</v>
      </c>
      <c r="J98" s="60">
        <f t="shared" si="110"/>
        <v>0</v>
      </c>
      <c r="K98" s="60">
        <f t="shared" si="110"/>
        <v>0</v>
      </c>
      <c r="L98" s="60">
        <f t="shared" si="110"/>
        <v>0</v>
      </c>
      <c r="M98" s="60">
        <f t="shared" si="110"/>
        <v>0</v>
      </c>
      <c r="N98" s="60">
        <f t="shared" si="110"/>
        <v>0</v>
      </c>
      <c r="O98" s="60">
        <f t="shared" si="110"/>
        <v>0</v>
      </c>
      <c r="P98" s="60">
        <f t="shared" si="110"/>
        <v>0</v>
      </c>
      <c r="Q98" s="60">
        <f t="shared" si="110"/>
        <v>0</v>
      </c>
      <c r="R98" s="60">
        <f t="shared" si="110"/>
        <v>0</v>
      </c>
      <c r="S98" s="60">
        <f t="shared" si="110"/>
        <v>0</v>
      </c>
      <c r="T98" s="60">
        <f t="shared" si="110"/>
        <v>0</v>
      </c>
      <c r="U98" s="60">
        <f t="shared" si="110"/>
        <v>0</v>
      </c>
      <c r="V98" s="60">
        <f t="shared" si="110"/>
        <v>0</v>
      </c>
      <c r="W98" s="60">
        <f t="shared" si="110"/>
        <v>0</v>
      </c>
      <c r="X98" s="60">
        <f t="shared" si="110"/>
        <v>0</v>
      </c>
      <c r="Y98" s="60">
        <f t="shared" si="110"/>
        <v>0</v>
      </c>
      <c r="Z98" s="60">
        <f t="shared" si="110"/>
        <v>0</v>
      </c>
      <c r="AB98" s="61">
        <f t="shared" si="98"/>
        <v>0</v>
      </c>
      <c r="AC98" s="60">
        <f t="shared" si="99"/>
        <v>0</v>
      </c>
      <c r="AD98" s="62">
        <f t="shared" si="100"/>
        <v>0</v>
      </c>
    </row>
    <row r="99" spans="1:30" x14ac:dyDescent="0.2">
      <c r="A99" s="244"/>
      <c r="B99" s="244"/>
      <c r="C99" s="71" t="s">
        <v>19</v>
      </c>
      <c r="D99" s="63">
        <f t="shared" ref="D99:Z99" si="111">IF(D$2&lt;global0.5,D$65*D81,D$65*(SUM(ship4_fuel_type1*fuel_type1_cal0.5*D$14,ship4_fuel_type2*fuel_type2_cal0.5*D$26,ship4_fuel_type3*fuel_type3_cal0.5*D$38+ship4_fuel_type4*fuel_type4_cal0.5*D$50)))</f>
        <v>0</v>
      </c>
      <c r="E99" s="63">
        <f t="shared" si="111"/>
        <v>0</v>
      </c>
      <c r="F99" s="63">
        <f t="shared" si="111"/>
        <v>0</v>
      </c>
      <c r="G99" s="63">
        <f t="shared" si="111"/>
        <v>0</v>
      </c>
      <c r="H99" s="63">
        <f t="shared" si="111"/>
        <v>0</v>
      </c>
      <c r="I99" s="63">
        <f t="shared" si="111"/>
        <v>0</v>
      </c>
      <c r="J99" s="63">
        <f t="shared" si="111"/>
        <v>0</v>
      </c>
      <c r="K99" s="63">
        <f t="shared" si="111"/>
        <v>0</v>
      </c>
      <c r="L99" s="63">
        <f t="shared" si="111"/>
        <v>0</v>
      </c>
      <c r="M99" s="63">
        <f t="shared" si="111"/>
        <v>0</v>
      </c>
      <c r="N99" s="63">
        <f t="shared" si="111"/>
        <v>0</v>
      </c>
      <c r="O99" s="63">
        <f t="shared" si="111"/>
        <v>0</v>
      </c>
      <c r="P99" s="63">
        <f t="shared" si="111"/>
        <v>0</v>
      </c>
      <c r="Q99" s="63">
        <f t="shared" si="111"/>
        <v>0</v>
      </c>
      <c r="R99" s="63">
        <f t="shared" si="111"/>
        <v>0</v>
      </c>
      <c r="S99" s="63">
        <f t="shared" si="111"/>
        <v>0</v>
      </c>
      <c r="T99" s="63">
        <f t="shared" si="111"/>
        <v>0</v>
      </c>
      <c r="U99" s="63">
        <f t="shared" si="111"/>
        <v>0</v>
      </c>
      <c r="V99" s="63">
        <f t="shared" si="111"/>
        <v>0</v>
      </c>
      <c r="W99" s="63">
        <f t="shared" si="111"/>
        <v>0</v>
      </c>
      <c r="X99" s="63">
        <f t="shared" si="111"/>
        <v>0</v>
      </c>
      <c r="Y99" s="63">
        <f t="shared" si="111"/>
        <v>0</v>
      </c>
      <c r="Z99" s="63">
        <f t="shared" si="111"/>
        <v>0</v>
      </c>
      <c r="AB99" s="64">
        <f t="shared" si="98"/>
        <v>0</v>
      </c>
      <c r="AC99" s="63">
        <f t="shared" si="99"/>
        <v>0</v>
      </c>
      <c r="AD99" s="65">
        <f t="shared" si="100"/>
        <v>0</v>
      </c>
    </row>
    <row r="100" spans="1:30" x14ac:dyDescent="0.2">
      <c r="A100" s="244"/>
      <c r="B100" s="244">
        <f>ship5</f>
        <v>0</v>
      </c>
      <c r="C100" s="71" t="s">
        <v>17</v>
      </c>
      <c r="D100" s="56">
        <f t="shared" ref="D100:Z100" si="112">IF(D$2&lt;global0.5,D$67*D82,D$67*(SUM(ship5_fuel_type1*fuel_type1_cal0.5*D$6,ship5_fuel_type2*fuel_type2_cal0.5*D$18,ship5_fuel_type3*fuel_type3_cal0.5*D$30+ship5_fuel_type4*fuel_type4_cal0.5*D$42)))</f>
        <v>0</v>
      </c>
      <c r="E100" s="56">
        <f t="shared" si="112"/>
        <v>0</v>
      </c>
      <c r="F100" s="56">
        <f t="shared" si="112"/>
        <v>0</v>
      </c>
      <c r="G100" s="56">
        <f t="shared" si="112"/>
        <v>0</v>
      </c>
      <c r="H100" s="56">
        <f t="shared" si="112"/>
        <v>0</v>
      </c>
      <c r="I100" s="56">
        <f t="shared" si="112"/>
        <v>0</v>
      </c>
      <c r="J100" s="56">
        <f t="shared" si="112"/>
        <v>0</v>
      </c>
      <c r="K100" s="56">
        <f t="shared" si="112"/>
        <v>0</v>
      </c>
      <c r="L100" s="56">
        <f t="shared" si="112"/>
        <v>0</v>
      </c>
      <c r="M100" s="56">
        <f t="shared" si="112"/>
        <v>0</v>
      </c>
      <c r="N100" s="56">
        <f t="shared" si="112"/>
        <v>0</v>
      </c>
      <c r="O100" s="56">
        <f t="shared" si="112"/>
        <v>0</v>
      </c>
      <c r="P100" s="56">
        <f t="shared" si="112"/>
        <v>0</v>
      </c>
      <c r="Q100" s="56">
        <f t="shared" si="112"/>
        <v>0</v>
      </c>
      <c r="R100" s="56">
        <f t="shared" si="112"/>
        <v>0</v>
      </c>
      <c r="S100" s="56">
        <f t="shared" si="112"/>
        <v>0</v>
      </c>
      <c r="T100" s="56">
        <f t="shared" si="112"/>
        <v>0</v>
      </c>
      <c r="U100" s="56">
        <f t="shared" si="112"/>
        <v>0</v>
      </c>
      <c r="V100" s="56">
        <f t="shared" si="112"/>
        <v>0</v>
      </c>
      <c r="W100" s="56">
        <f t="shared" si="112"/>
        <v>0</v>
      </c>
      <c r="X100" s="56">
        <f t="shared" si="112"/>
        <v>0</v>
      </c>
      <c r="Y100" s="56">
        <f t="shared" si="112"/>
        <v>0</v>
      </c>
      <c r="Z100" s="56">
        <f t="shared" si="112"/>
        <v>0</v>
      </c>
      <c r="AB100" s="66">
        <f t="shared" si="98"/>
        <v>0</v>
      </c>
      <c r="AC100" s="56">
        <f t="shared" si="99"/>
        <v>0</v>
      </c>
      <c r="AD100" s="67">
        <f t="shared" si="100"/>
        <v>0</v>
      </c>
    </row>
    <row r="101" spans="1:30" x14ac:dyDescent="0.2">
      <c r="A101" s="244"/>
      <c r="B101" s="244"/>
      <c r="C101" s="71" t="s">
        <v>18</v>
      </c>
      <c r="D101" s="60">
        <f t="shared" ref="D101:Z101" si="113">IF(D$2&lt;global0.5,D$67*D83,D$67*(SUM(ship5_fuel_type1*fuel_type1_cal0.5*D$10,ship5_fuel_type2*fuel_type2_cal0.5*D$22,ship5_fuel_type3*fuel_type3_cal0.5*D$34+ship5_fuel_type4*fuel_type4_cal0.5*D$46)))</f>
        <v>0</v>
      </c>
      <c r="E101" s="60">
        <f t="shared" si="113"/>
        <v>0</v>
      </c>
      <c r="F101" s="60">
        <f t="shared" si="113"/>
        <v>0</v>
      </c>
      <c r="G101" s="60">
        <f t="shared" si="113"/>
        <v>0</v>
      </c>
      <c r="H101" s="60">
        <f t="shared" si="113"/>
        <v>0</v>
      </c>
      <c r="I101" s="60">
        <f t="shared" si="113"/>
        <v>0</v>
      </c>
      <c r="J101" s="60">
        <f t="shared" si="113"/>
        <v>0</v>
      </c>
      <c r="K101" s="60">
        <f t="shared" si="113"/>
        <v>0</v>
      </c>
      <c r="L101" s="60">
        <f t="shared" si="113"/>
        <v>0</v>
      </c>
      <c r="M101" s="60">
        <f t="shared" si="113"/>
        <v>0</v>
      </c>
      <c r="N101" s="60">
        <f t="shared" si="113"/>
        <v>0</v>
      </c>
      <c r="O101" s="60">
        <f t="shared" si="113"/>
        <v>0</v>
      </c>
      <c r="P101" s="60">
        <f t="shared" si="113"/>
        <v>0</v>
      </c>
      <c r="Q101" s="60">
        <f t="shared" si="113"/>
        <v>0</v>
      </c>
      <c r="R101" s="60">
        <f t="shared" si="113"/>
        <v>0</v>
      </c>
      <c r="S101" s="60">
        <f t="shared" si="113"/>
        <v>0</v>
      </c>
      <c r="T101" s="60">
        <f t="shared" si="113"/>
        <v>0</v>
      </c>
      <c r="U101" s="60">
        <f t="shared" si="113"/>
        <v>0</v>
      </c>
      <c r="V101" s="60">
        <f t="shared" si="113"/>
        <v>0</v>
      </c>
      <c r="W101" s="60">
        <f t="shared" si="113"/>
        <v>0</v>
      </c>
      <c r="X101" s="60">
        <f t="shared" si="113"/>
        <v>0</v>
      </c>
      <c r="Y101" s="60">
        <f t="shared" si="113"/>
        <v>0</v>
      </c>
      <c r="Z101" s="60">
        <f t="shared" si="113"/>
        <v>0</v>
      </c>
      <c r="AB101" s="61">
        <f t="shared" si="98"/>
        <v>0</v>
      </c>
      <c r="AC101" s="60">
        <f t="shared" si="99"/>
        <v>0</v>
      </c>
      <c r="AD101" s="62">
        <f t="shared" si="100"/>
        <v>0</v>
      </c>
    </row>
    <row r="102" spans="1:30" x14ac:dyDescent="0.2">
      <c r="A102" s="244"/>
      <c r="B102" s="244"/>
      <c r="C102" s="71" t="s">
        <v>19</v>
      </c>
      <c r="D102" s="63">
        <f t="shared" ref="D102:Z102" si="114">IF(D$2&lt;global0.5,D$67*D84,D$67*(SUM(ship5_fuel_type1*fuel_type1_cal0.5*D$14,ship5_fuel_type2*fuel_type2_cal0.5*D$26,ship5_fuel_type3*fuel_type3_cal0.5*D$38+ship5_fuel_type4*fuel_type4_cal0.5*D$50)))</f>
        <v>0</v>
      </c>
      <c r="E102" s="63">
        <f t="shared" si="114"/>
        <v>0</v>
      </c>
      <c r="F102" s="63">
        <f t="shared" si="114"/>
        <v>0</v>
      </c>
      <c r="G102" s="63">
        <f t="shared" si="114"/>
        <v>0</v>
      </c>
      <c r="H102" s="63">
        <f t="shared" si="114"/>
        <v>0</v>
      </c>
      <c r="I102" s="63">
        <f t="shared" si="114"/>
        <v>0</v>
      </c>
      <c r="J102" s="63">
        <f t="shared" si="114"/>
        <v>0</v>
      </c>
      <c r="K102" s="63">
        <f t="shared" si="114"/>
        <v>0</v>
      </c>
      <c r="L102" s="63">
        <f t="shared" si="114"/>
        <v>0</v>
      </c>
      <c r="M102" s="63">
        <f t="shared" si="114"/>
        <v>0</v>
      </c>
      <c r="N102" s="63">
        <f t="shared" si="114"/>
        <v>0</v>
      </c>
      <c r="O102" s="63">
        <f t="shared" si="114"/>
        <v>0</v>
      </c>
      <c r="P102" s="63">
        <f t="shared" si="114"/>
        <v>0</v>
      </c>
      <c r="Q102" s="63">
        <f t="shared" si="114"/>
        <v>0</v>
      </c>
      <c r="R102" s="63">
        <f t="shared" si="114"/>
        <v>0</v>
      </c>
      <c r="S102" s="63">
        <f t="shared" si="114"/>
        <v>0</v>
      </c>
      <c r="T102" s="63">
        <f t="shared" si="114"/>
        <v>0</v>
      </c>
      <c r="U102" s="63">
        <f t="shared" si="114"/>
        <v>0</v>
      </c>
      <c r="V102" s="63">
        <f t="shared" si="114"/>
        <v>0</v>
      </c>
      <c r="W102" s="63">
        <f t="shared" si="114"/>
        <v>0</v>
      </c>
      <c r="X102" s="63">
        <f t="shared" si="114"/>
        <v>0</v>
      </c>
      <c r="Y102" s="63">
        <f t="shared" si="114"/>
        <v>0</v>
      </c>
      <c r="Z102" s="63">
        <f t="shared" si="114"/>
        <v>0</v>
      </c>
      <c r="AB102" s="64">
        <f t="shared" si="98"/>
        <v>0</v>
      </c>
      <c r="AC102" s="63">
        <f t="shared" si="99"/>
        <v>0</v>
      </c>
      <c r="AD102" s="65">
        <f t="shared" si="100"/>
        <v>0</v>
      </c>
    </row>
    <row r="103" spans="1:30" x14ac:dyDescent="0.2">
      <c r="A103" s="244"/>
      <c r="B103" s="244">
        <f>ship6</f>
        <v>0</v>
      </c>
      <c r="C103" s="71" t="s">
        <v>17</v>
      </c>
      <c r="D103" s="56">
        <f t="shared" ref="D103:Z103" si="115">IF(D$2&lt;global0.5,D$69*D85,D$69*(SUM(ship6_fuel_type1*fuel_type1_cal0.5*D$6,ship6_fuel_type2*fuel_type2_cal0.5*D$18,ship6_fuel_type3*fuel_type3_cal0.5*D$30+ship6_fuel_type4*fuel_type4_cal0.5*D$42)))</f>
        <v>0</v>
      </c>
      <c r="E103" s="56">
        <f t="shared" si="115"/>
        <v>0</v>
      </c>
      <c r="F103" s="56">
        <f t="shared" si="115"/>
        <v>0</v>
      </c>
      <c r="G103" s="56">
        <f t="shared" si="115"/>
        <v>0</v>
      </c>
      <c r="H103" s="56">
        <f t="shared" si="115"/>
        <v>0</v>
      </c>
      <c r="I103" s="56">
        <f t="shared" si="115"/>
        <v>0</v>
      </c>
      <c r="J103" s="56">
        <f t="shared" si="115"/>
        <v>0</v>
      </c>
      <c r="K103" s="56">
        <f t="shared" si="115"/>
        <v>0</v>
      </c>
      <c r="L103" s="56">
        <f t="shared" si="115"/>
        <v>0</v>
      </c>
      <c r="M103" s="56">
        <f t="shared" si="115"/>
        <v>0</v>
      </c>
      <c r="N103" s="56">
        <f t="shared" si="115"/>
        <v>0</v>
      </c>
      <c r="O103" s="56">
        <f t="shared" si="115"/>
        <v>0</v>
      </c>
      <c r="P103" s="56">
        <f t="shared" si="115"/>
        <v>0</v>
      </c>
      <c r="Q103" s="56">
        <f t="shared" si="115"/>
        <v>0</v>
      </c>
      <c r="R103" s="56">
        <f t="shared" si="115"/>
        <v>0</v>
      </c>
      <c r="S103" s="56">
        <f t="shared" si="115"/>
        <v>0</v>
      </c>
      <c r="T103" s="56">
        <f t="shared" si="115"/>
        <v>0</v>
      </c>
      <c r="U103" s="56">
        <f t="shared" si="115"/>
        <v>0</v>
      </c>
      <c r="V103" s="56">
        <f t="shared" si="115"/>
        <v>0</v>
      </c>
      <c r="W103" s="56">
        <f t="shared" si="115"/>
        <v>0</v>
      </c>
      <c r="X103" s="56">
        <f t="shared" si="115"/>
        <v>0</v>
      </c>
      <c r="Y103" s="56">
        <f t="shared" si="115"/>
        <v>0</v>
      </c>
      <c r="Z103" s="56">
        <f t="shared" si="115"/>
        <v>0</v>
      </c>
      <c r="AB103" s="66">
        <f t="shared" si="98"/>
        <v>0</v>
      </c>
      <c r="AC103" s="56">
        <f t="shared" si="99"/>
        <v>0</v>
      </c>
      <c r="AD103" s="67">
        <f t="shared" si="100"/>
        <v>0</v>
      </c>
    </row>
    <row r="104" spans="1:30" x14ac:dyDescent="0.2">
      <c r="A104" s="244"/>
      <c r="B104" s="244"/>
      <c r="C104" s="71" t="s">
        <v>18</v>
      </c>
      <c r="D104" s="60">
        <f t="shared" ref="D104:Z104" si="116">IF(D$2&lt;global0.5,D$69*D86,D$69*(SUM(ship6_fuel_type1*fuel_type1_cal0.5*D$10,ship6_fuel_type2*fuel_type2_cal0.5*D$22,ship6_fuel_type3*fuel_type3_cal0.5*D$34+ship6_fuel_type4*fuel_type4_cal0.5*D$46)))</f>
        <v>0</v>
      </c>
      <c r="E104" s="60">
        <f t="shared" si="116"/>
        <v>0</v>
      </c>
      <c r="F104" s="60">
        <f t="shared" si="116"/>
        <v>0</v>
      </c>
      <c r="G104" s="60">
        <f t="shared" si="116"/>
        <v>0</v>
      </c>
      <c r="H104" s="60">
        <f t="shared" si="116"/>
        <v>0</v>
      </c>
      <c r="I104" s="60">
        <f t="shared" si="116"/>
        <v>0</v>
      </c>
      <c r="J104" s="60">
        <f t="shared" si="116"/>
        <v>0</v>
      </c>
      <c r="K104" s="60">
        <f t="shared" si="116"/>
        <v>0</v>
      </c>
      <c r="L104" s="60">
        <f t="shared" si="116"/>
        <v>0</v>
      </c>
      <c r="M104" s="60">
        <f t="shared" si="116"/>
        <v>0</v>
      </c>
      <c r="N104" s="60">
        <f t="shared" si="116"/>
        <v>0</v>
      </c>
      <c r="O104" s="60">
        <f t="shared" si="116"/>
        <v>0</v>
      </c>
      <c r="P104" s="60">
        <f t="shared" si="116"/>
        <v>0</v>
      </c>
      <c r="Q104" s="60">
        <f t="shared" si="116"/>
        <v>0</v>
      </c>
      <c r="R104" s="60">
        <f t="shared" si="116"/>
        <v>0</v>
      </c>
      <c r="S104" s="60">
        <f t="shared" si="116"/>
        <v>0</v>
      </c>
      <c r="T104" s="60">
        <f t="shared" si="116"/>
        <v>0</v>
      </c>
      <c r="U104" s="60">
        <f t="shared" si="116"/>
        <v>0</v>
      </c>
      <c r="V104" s="60">
        <f t="shared" si="116"/>
        <v>0</v>
      </c>
      <c r="W104" s="60">
        <f t="shared" si="116"/>
        <v>0</v>
      </c>
      <c r="X104" s="60">
        <f t="shared" si="116"/>
        <v>0</v>
      </c>
      <c r="Y104" s="60">
        <f t="shared" si="116"/>
        <v>0</v>
      </c>
      <c r="Z104" s="60">
        <f t="shared" si="116"/>
        <v>0</v>
      </c>
      <c r="AB104" s="61">
        <f t="shared" si="98"/>
        <v>0</v>
      </c>
      <c r="AC104" s="60">
        <f t="shared" si="99"/>
        <v>0</v>
      </c>
      <c r="AD104" s="62">
        <f t="shared" si="100"/>
        <v>0</v>
      </c>
    </row>
    <row r="105" spans="1:30" ht="13.5" thickBot="1" x14ac:dyDescent="0.25">
      <c r="A105" s="244"/>
      <c r="B105" s="244"/>
      <c r="C105" s="71" t="s">
        <v>19</v>
      </c>
      <c r="D105" s="63">
        <f t="shared" ref="D105:Z105" si="117">IF(D$2&lt;global0.5,D$69*D87,D$69*(SUM(ship6_fuel_type1*fuel_type1_cal0.5*D$14,ship6_fuel_type2*fuel_type2_cal0.5*D$26,ship6_fuel_type3*fuel_type3_cal0.5*D$38+ship6_fuel_type4*fuel_type4_cal0.5*D$50)))</f>
        <v>0</v>
      </c>
      <c r="E105" s="63">
        <f t="shared" si="117"/>
        <v>0</v>
      </c>
      <c r="F105" s="63">
        <f t="shared" si="117"/>
        <v>0</v>
      </c>
      <c r="G105" s="63">
        <f t="shared" si="117"/>
        <v>0</v>
      </c>
      <c r="H105" s="63">
        <f t="shared" si="117"/>
        <v>0</v>
      </c>
      <c r="I105" s="63">
        <f t="shared" si="117"/>
        <v>0</v>
      </c>
      <c r="J105" s="63">
        <f t="shared" si="117"/>
        <v>0</v>
      </c>
      <c r="K105" s="63">
        <f t="shared" si="117"/>
        <v>0</v>
      </c>
      <c r="L105" s="63">
        <f t="shared" si="117"/>
        <v>0</v>
      </c>
      <c r="M105" s="63">
        <f t="shared" si="117"/>
        <v>0</v>
      </c>
      <c r="N105" s="63">
        <f t="shared" si="117"/>
        <v>0</v>
      </c>
      <c r="O105" s="63">
        <f t="shared" si="117"/>
        <v>0</v>
      </c>
      <c r="P105" s="63">
        <f t="shared" si="117"/>
        <v>0</v>
      </c>
      <c r="Q105" s="63">
        <f t="shared" si="117"/>
        <v>0</v>
      </c>
      <c r="R105" s="63">
        <f t="shared" si="117"/>
        <v>0</v>
      </c>
      <c r="S105" s="63">
        <f t="shared" si="117"/>
        <v>0</v>
      </c>
      <c r="T105" s="63">
        <f t="shared" si="117"/>
        <v>0</v>
      </c>
      <c r="U105" s="63">
        <f t="shared" si="117"/>
        <v>0</v>
      </c>
      <c r="V105" s="63">
        <f t="shared" si="117"/>
        <v>0</v>
      </c>
      <c r="W105" s="63">
        <f t="shared" si="117"/>
        <v>0</v>
      </c>
      <c r="X105" s="63">
        <f t="shared" si="117"/>
        <v>0</v>
      </c>
      <c r="Y105" s="63">
        <f t="shared" si="117"/>
        <v>0</v>
      </c>
      <c r="Z105" s="63">
        <f t="shared" si="117"/>
        <v>0</v>
      </c>
      <c r="AB105" s="68">
        <f t="shared" si="98"/>
        <v>0</v>
      </c>
      <c r="AC105" s="69">
        <f t="shared" si="99"/>
        <v>0</v>
      </c>
      <c r="AD105" s="70">
        <f t="shared" si="100"/>
        <v>0</v>
      </c>
    </row>
    <row r="106" spans="1:30" x14ac:dyDescent="0.2">
      <c r="A106" s="249" t="s">
        <v>36</v>
      </c>
      <c r="B106" s="249">
        <f>ship1</f>
        <v>0</v>
      </c>
      <c r="C106" s="72" t="s">
        <v>17</v>
      </c>
      <c r="D106" s="56">
        <f t="shared" ref="D106:Z106" si="118">IF(D$2&lt;2015,D$58*(SUM(ship1_fuel_type1*fuel_type1_cal1.0*D$5,ship1_fuel_type2*fuel_type2_cal1.0*D$17,ship1_fuel_type3*fuel_type3_cal1.0*D$29,ship1_fuel_type4*fuel_type4_cal1.0*D$41)),D$58*(SUM(ship1_fuel_type1*fuel_type1_cal0.1*D$7,ship1_fuel_type2*fuel_type2_cal0.1*D$19,ship1_fuel_type3*fuel_type3_cal0.1*D$31,ship1_fuel_type4*fuel_type4_cal0.1*D$43)))</f>
        <v>0</v>
      </c>
      <c r="E106" s="56">
        <f t="shared" si="118"/>
        <v>0</v>
      </c>
      <c r="F106" s="56">
        <f t="shared" si="118"/>
        <v>0</v>
      </c>
      <c r="G106" s="56">
        <f t="shared" si="118"/>
        <v>0</v>
      </c>
      <c r="H106" s="56">
        <f t="shared" si="118"/>
        <v>0</v>
      </c>
      <c r="I106" s="56">
        <f t="shared" si="118"/>
        <v>0</v>
      </c>
      <c r="J106" s="56">
        <f t="shared" si="118"/>
        <v>0</v>
      </c>
      <c r="K106" s="56">
        <f t="shared" si="118"/>
        <v>0</v>
      </c>
      <c r="L106" s="56">
        <f t="shared" si="118"/>
        <v>0</v>
      </c>
      <c r="M106" s="56">
        <f t="shared" si="118"/>
        <v>0</v>
      </c>
      <c r="N106" s="56">
        <f t="shared" si="118"/>
        <v>0</v>
      </c>
      <c r="O106" s="56">
        <f t="shared" si="118"/>
        <v>0</v>
      </c>
      <c r="P106" s="56">
        <f t="shared" si="118"/>
        <v>0</v>
      </c>
      <c r="Q106" s="56">
        <f t="shared" si="118"/>
        <v>0</v>
      </c>
      <c r="R106" s="56">
        <f t="shared" si="118"/>
        <v>0</v>
      </c>
      <c r="S106" s="56">
        <f t="shared" si="118"/>
        <v>0</v>
      </c>
      <c r="T106" s="56">
        <f t="shared" si="118"/>
        <v>0</v>
      </c>
      <c r="U106" s="56">
        <f t="shared" si="118"/>
        <v>0</v>
      </c>
      <c r="V106" s="56">
        <f t="shared" si="118"/>
        <v>0</v>
      </c>
      <c r="W106" s="56">
        <f t="shared" si="118"/>
        <v>0</v>
      </c>
      <c r="X106" s="56">
        <f t="shared" si="118"/>
        <v>0</v>
      </c>
      <c r="Y106" s="56">
        <f t="shared" si="118"/>
        <v>0</v>
      </c>
      <c r="Z106" s="56">
        <f t="shared" si="118"/>
        <v>0</v>
      </c>
      <c r="AB106" s="57">
        <f t="shared" ref="AB106:AB123" si="119">AVERAGE(D106:E106)</f>
        <v>0</v>
      </c>
      <c r="AC106" s="58">
        <f t="shared" ref="AC106:AC123" si="120">AVERAGE(F106:J106)</f>
        <v>0</v>
      </c>
      <c r="AD106" s="59">
        <f t="shared" ref="AD106:AD123" si="121">AVERAGE(K106:Z106)</f>
        <v>0</v>
      </c>
    </row>
    <row r="107" spans="1:30" x14ac:dyDescent="0.2">
      <c r="A107" s="249"/>
      <c r="B107" s="249"/>
      <c r="C107" s="72" t="s">
        <v>18</v>
      </c>
      <c r="D107" s="60">
        <f t="shared" ref="D107:Z107" si="122">IF(D$2&lt;2015,D$58*(SUM(ship1_fuel_type1*fuel_type1_cal1.0*D$9,ship1_fuel_type2*fuel_type2_cal1.0*D$21,ship1_fuel_type3*fuel_type3_cal1.0*D$33,ship1_fuel_type4*fuel_type4_cal1.0*D$45)),D$58*(SUM(ship1_fuel_type1*fuel_type1_cal0.1*D$11,ship1_fuel_type2*fuel_type2_cal0.1*D$23,ship1_fuel_type3*fuel_type3_cal0.1*D$35,ship1_fuel_type4*fuel_type4_cal0.1*D$47)))</f>
        <v>0</v>
      </c>
      <c r="E107" s="60">
        <f t="shared" si="122"/>
        <v>0</v>
      </c>
      <c r="F107" s="60">
        <f t="shared" si="122"/>
        <v>0</v>
      </c>
      <c r="G107" s="60">
        <f t="shared" si="122"/>
        <v>0</v>
      </c>
      <c r="H107" s="60">
        <f t="shared" si="122"/>
        <v>0</v>
      </c>
      <c r="I107" s="60">
        <f t="shared" si="122"/>
        <v>0</v>
      </c>
      <c r="J107" s="60">
        <f t="shared" si="122"/>
        <v>0</v>
      </c>
      <c r="K107" s="60">
        <f t="shared" si="122"/>
        <v>0</v>
      </c>
      <c r="L107" s="60">
        <f t="shared" si="122"/>
        <v>0</v>
      </c>
      <c r="M107" s="60">
        <f t="shared" si="122"/>
        <v>0</v>
      </c>
      <c r="N107" s="60">
        <f t="shared" si="122"/>
        <v>0</v>
      </c>
      <c r="O107" s="60">
        <f t="shared" si="122"/>
        <v>0</v>
      </c>
      <c r="P107" s="60">
        <f t="shared" si="122"/>
        <v>0</v>
      </c>
      <c r="Q107" s="60">
        <f t="shared" si="122"/>
        <v>0</v>
      </c>
      <c r="R107" s="60">
        <f t="shared" si="122"/>
        <v>0</v>
      </c>
      <c r="S107" s="60">
        <f t="shared" si="122"/>
        <v>0</v>
      </c>
      <c r="T107" s="60">
        <f t="shared" si="122"/>
        <v>0</v>
      </c>
      <c r="U107" s="60">
        <f t="shared" si="122"/>
        <v>0</v>
      </c>
      <c r="V107" s="60">
        <f t="shared" si="122"/>
        <v>0</v>
      </c>
      <c r="W107" s="60">
        <f t="shared" si="122"/>
        <v>0</v>
      </c>
      <c r="X107" s="60">
        <f t="shared" si="122"/>
        <v>0</v>
      </c>
      <c r="Y107" s="60">
        <f t="shared" si="122"/>
        <v>0</v>
      </c>
      <c r="Z107" s="60">
        <f t="shared" si="122"/>
        <v>0</v>
      </c>
      <c r="AB107" s="61">
        <f t="shared" si="119"/>
        <v>0</v>
      </c>
      <c r="AC107" s="60">
        <f t="shared" si="120"/>
        <v>0</v>
      </c>
      <c r="AD107" s="62">
        <f t="shared" si="121"/>
        <v>0</v>
      </c>
    </row>
    <row r="108" spans="1:30" x14ac:dyDescent="0.2">
      <c r="A108" s="249"/>
      <c r="B108" s="249"/>
      <c r="C108" s="72" t="s">
        <v>19</v>
      </c>
      <c r="D108" s="63">
        <f t="shared" ref="D108:Z108" si="123">IF(D$2&lt;2015,D$58*(SUM(ship1_fuel_type1*fuel_type1_cal1.0*D$13,ship1_fuel_type2*fuel_type2_cal1.0*D$25,ship1_fuel_type3*fuel_type3_cal1.0*D$37,ship1_fuel_type4*fuel_type4_cal1.0*D$49)),D$58*(SUM(ship1_fuel_type1*fuel_type1_cal0.1*D$15,ship1_fuel_type2*fuel_type2_cal0.1*D$27,ship1_fuel_type3*fuel_type3_cal0.1*D$39,ship1_fuel_type4*fuel_type4_cal0.1*D$51)))</f>
        <v>0</v>
      </c>
      <c r="E108" s="63">
        <f t="shared" si="123"/>
        <v>0</v>
      </c>
      <c r="F108" s="63">
        <f t="shared" si="123"/>
        <v>0</v>
      </c>
      <c r="G108" s="63">
        <f t="shared" si="123"/>
        <v>0</v>
      </c>
      <c r="H108" s="63">
        <f t="shared" si="123"/>
        <v>0</v>
      </c>
      <c r="I108" s="63">
        <f t="shared" si="123"/>
        <v>0</v>
      </c>
      <c r="J108" s="63">
        <f t="shared" si="123"/>
        <v>0</v>
      </c>
      <c r="K108" s="63">
        <f t="shared" si="123"/>
        <v>0</v>
      </c>
      <c r="L108" s="63">
        <f t="shared" si="123"/>
        <v>0</v>
      </c>
      <c r="M108" s="63">
        <f t="shared" si="123"/>
        <v>0</v>
      </c>
      <c r="N108" s="63">
        <f t="shared" si="123"/>
        <v>0</v>
      </c>
      <c r="O108" s="63">
        <f t="shared" si="123"/>
        <v>0</v>
      </c>
      <c r="P108" s="63">
        <f t="shared" si="123"/>
        <v>0</v>
      </c>
      <c r="Q108" s="63">
        <f t="shared" si="123"/>
        <v>0</v>
      </c>
      <c r="R108" s="63">
        <f t="shared" si="123"/>
        <v>0</v>
      </c>
      <c r="S108" s="63">
        <f t="shared" si="123"/>
        <v>0</v>
      </c>
      <c r="T108" s="63">
        <f t="shared" si="123"/>
        <v>0</v>
      </c>
      <c r="U108" s="63">
        <f t="shared" si="123"/>
        <v>0</v>
      </c>
      <c r="V108" s="63">
        <f t="shared" si="123"/>
        <v>0</v>
      </c>
      <c r="W108" s="63">
        <f t="shared" si="123"/>
        <v>0</v>
      </c>
      <c r="X108" s="63">
        <f t="shared" si="123"/>
        <v>0</v>
      </c>
      <c r="Y108" s="63">
        <f t="shared" si="123"/>
        <v>0</v>
      </c>
      <c r="Z108" s="63">
        <f t="shared" si="123"/>
        <v>0</v>
      </c>
      <c r="AB108" s="64">
        <f t="shared" si="119"/>
        <v>0</v>
      </c>
      <c r="AC108" s="63">
        <f t="shared" si="120"/>
        <v>0</v>
      </c>
      <c r="AD108" s="65">
        <f t="shared" si="121"/>
        <v>0</v>
      </c>
    </row>
    <row r="109" spans="1:30" x14ac:dyDescent="0.2">
      <c r="A109" s="249"/>
      <c r="B109" s="249">
        <f>ship2</f>
        <v>0</v>
      </c>
      <c r="C109" s="72" t="s">
        <v>17</v>
      </c>
      <c r="D109" s="56">
        <f t="shared" ref="D109:Z109" si="124">IF(D$2&lt;2015,D$60*(SUM(ship2_fuel_type1*fuel_type1_cal1.0*D$5,ship2_fuel_type2*fuel_type2_cal1.0*D$17,ship2_fuel_type3*fuel_type3_cal1.0*D$29,ship2_fuel_type4*fuel_type4_cal1.0*D$41)),D$60*(SUM(ship2_fuel_type1*fuel_type1_cal0.1*D$7,ship2_fuel_type2*fuel_type2_cal0.1*D$19,ship2_fuel_type3*fuel_type3_cal0.1*D$31,ship2_fuel_type4*fuel_type4_cal0.1*D$43)))</f>
        <v>0</v>
      </c>
      <c r="E109" s="56">
        <f t="shared" si="124"/>
        <v>0</v>
      </c>
      <c r="F109" s="56">
        <f t="shared" si="124"/>
        <v>0</v>
      </c>
      <c r="G109" s="56">
        <f t="shared" si="124"/>
        <v>0</v>
      </c>
      <c r="H109" s="56">
        <f t="shared" si="124"/>
        <v>0</v>
      </c>
      <c r="I109" s="56">
        <f t="shared" si="124"/>
        <v>0</v>
      </c>
      <c r="J109" s="56">
        <f t="shared" si="124"/>
        <v>0</v>
      </c>
      <c r="K109" s="56">
        <f t="shared" si="124"/>
        <v>0</v>
      </c>
      <c r="L109" s="56">
        <f t="shared" si="124"/>
        <v>0</v>
      </c>
      <c r="M109" s="56">
        <f t="shared" si="124"/>
        <v>0</v>
      </c>
      <c r="N109" s="56">
        <f t="shared" si="124"/>
        <v>0</v>
      </c>
      <c r="O109" s="56">
        <f t="shared" si="124"/>
        <v>0</v>
      </c>
      <c r="P109" s="56">
        <f t="shared" si="124"/>
        <v>0</v>
      </c>
      <c r="Q109" s="56">
        <f t="shared" si="124"/>
        <v>0</v>
      </c>
      <c r="R109" s="56">
        <f t="shared" si="124"/>
        <v>0</v>
      </c>
      <c r="S109" s="56">
        <f t="shared" si="124"/>
        <v>0</v>
      </c>
      <c r="T109" s="56">
        <f t="shared" si="124"/>
        <v>0</v>
      </c>
      <c r="U109" s="56">
        <f t="shared" si="124"/>
        <v>0</v>
      </c>
      <c r="V109" s="56">
        <f t="shared" si="124"/>
        <v>0</v>
      </c>
      <c r="W109" s="56">
        <f t="shared" si="124"/>
        <v>0</v>
      </c>
      <c r="X109" s="56">
        <f t="shared" si="124"/>
        <v>0</v>
      </c>
      <c r="Y109" s="56">
        <f t="shared" si="124"/>
        <v>0</v>
      </c>
      <c r="Z109" s="56">
        <f t="shared" si="124"/>
        <v>0</v>
      </c>
      <c r="AB109" s="66">
        <f t="shared" si="119"/>
        <v>0</v>
      </c>
      <c r="AC109" s="56">
        <f t="shared" si="120"/>
        <v>0</v>
      </c>
      <c r="AD109" s="67">
        <f t="shared" si="121"/>
        <v>0</v>
      </c>
    </row>
    <row r="110" spans="1:30" x14ac:dyDescent="0.2">
      <c r="A110" s="249"/>
      <c r="B110" s="249"/>
      <c r="C110" s="72" t="s">
        <v>18</v>
      </c>
      <c r="D110" s="60">
        <f t="shared" ref="D110:Z110" si="125">IF(D$2&lt;2015,D$60*(SUM(ship2_fuel_type1*fuel_type1_cal1.0*D$9,ship2_fuel_type2*fuel_type2_cal1.0*D$21,ship2_fuel_type3*fuel_type3_cal1.0*D$33,ship2_fuel_type4*fuel_type4_cal1.0*D$45)),D$60*(SUM(ship2_fuel_type1*fuel_type1_cal0.1*D$11,ship2_fuel_type2*fuel_type2_cal0.1*D$23,ship2_fuel_type3*fuel_type3_cal0.1*D$35,ship2_fuel_type4*fuel_type4_cal0.1*D$47)))</f>
        <v>0</v>
      </c>
      <c r="E110" s="60">
        <f t="shared" si="125"/>
        <v>0</v>
      </c>
      <c r="F110" s="60">
        <f t="shared" si="125"/>
        <v>0</v>
      </c>
      <c r="G110" s="60">
        <f t="shared" si="125"/>
        <v>0</v>
      </c>
      <c r="H110" s="60">
        <f t="shared" si="125"/>
        <v>0</v>
      </c>
      <c r="I110" s="60">
        <f t="shared" si="125"/>
        <v>0</v>
      </c>
      <c r="J110" s="60">
        <f t="shared" si="125"/>
        <v>0</v>
      </c>
      <c r="K110" s="60">
        <f t="shared" si="125"/>
        <v>0</v>
      </c>
      <c r="L110" s="60">
        <f t="shared" si="125"/>
        <v>0</v>
      </c>
      <c r="M110" s="60">
        <f t="shared" si="125"/>
        <v>0</v>
      </c>
      <c r="N110" s="60">
        <f t="shared" si="125"/>
        <v>0</v>
      </c>
      <c r="O110" s="60">
        <f t="shared" si="125"/>
        <v>0</v>
      </c>
      <c r="P110" s="60">
        <f t="shared" si="125"/>
        <v>0</v>
      </c>
      <c r="Q110" s="60">
        <f t="shared" si="125"/>
        <v>0</v>
      </c>
      <c r="R110" s="60">
        <f t="shared" si="125"/>
        <v>0</v>
      </c>
      <c r="S110" s="60">
        <f t="shared" si="125"/>
        <v>0</v>
      </c>
      <c r="T110" s="60">
        <f t="shared" si="125"/>
        <v>0</v>
      </c>
      <c r="U110" s="60">
        <f t="shared" si="125"/>
        <v>0</v>
      </c>
      <c r="V110" s="60">
        <f t="shared" si="125"/>
        <v>0</v>
      </c>
      <c r="W110" s="60">
        <f t="shared" si="125"/>
        <v>0</v>
      </c>
      <c r="X110" s="60">
        <f t="shared" si="125"/>
        <v>0</v>
      </c>
      <c r="Y110" s="60">
        <f t="shared" si="125"/>
        <v>0</v>
      </c>
      <c r="Z110" s="60">
        <f t="shared" si="125"/>
        <v>0</v>
      </c>
      <c r="AB110" s="61">
        <f t="shared" si="119"/>
        <v>0</v>
      </c>
      <c r="AC110" s="60">
        <f t="shared" si="120"/>
        <v>0</v>
      </c>
      <c r="AD110" s="62">
        <f t="shared" si="121"/>
        <v>0</v>
      </c>
    </row>
    <row r="111" spans="1:30" x14ac:dyDescent="0.2">
      <c r="A111" s="249"/>
      <c r="B111" s="249"/>
      <c r="C111" s="72" t="s">
        <v>19</v>
      </c>
      <c r="D111" s="63">
        <f t="shared" ref="D111:Z111" si="126">IF(D$2&lt;2015,D$60*(SUM(ship2_fuel_type1*fuel_type1_cal1.0*D$13,ship2_fuel_type2*fuel_type2_cal1.0*D$25,ship2_fuel_type3*fuel_type3_cal1.0*D$37,ship2_fuel_type4*fuel_type4_cal1.0*D$49)),D$60*(SUM(ship2_fuel_type1*fuel_type1_cal0.1*D$15,ship2_fuel_type2*fuel_type2_cal0.1*D$27,ship2_fuel_type3*fuel_type3_cal0.1*D$39,ship2_fuel_type4*fuel_type4_cal0.1*D$51)))</f>
        <v>0</v>
      </c>
      <c r="E111" s="63">
        <f t="shared" si="126"/>
        <v>0</v>
      </c>
      <c r="F111" s="63">
        <f t="shared" si="126"/>
        <v>0</v>
      </c>
      <c r="G111" s="63">
        <f t="shared" si="126"/>
        <v>0</v>
      </c>
      <c r="H111" s="63">
        <f t="shared" si="126"/>
        <v>0</v>
      </c>
      <c r="I111" s="63">
        <f t="shared" si="126"/>
        <v>0</v>
      </c>
      <c r="J111" s="63">
        <f t="shared" si="126"/>
        <v>0</v>
      </c>
      <c r="K111" s="63">
        <f t="shared" si="126"/>
        <v>0</v>
      </c>
      <c r="L111" s="63">
        <f t="shared" si="126"/>
        <v>0</v>
      </c>
      <c r="M111" s="63">
        <f t="shared" si="126"/>
        <v>0</v>
      </c>
      <c r="N111" s="63">
        <f t="shared" si="126"/>
        <v>0</v>
      </c>
      <c r="O111" s="63">
        <f t="shared" si="126"/>
        <v>0</v>
      </c>
      <c r="P111" s="63">
        <f t="shared" si="126"/>
        <v>0</v>
      </c>
      <c r="Q111" s="63">
        <f t="shared" si="126"/>
        <v>0</v>
      </c>
      <c r="R111" s="63">
        <f t="shared" si="126"/>
        <v>0</v>
      </c>
      <c r="S111" s="63">
        <f t="shared" si="126"/>
        <v>0</v>
      </c>
      <c r="T111" s="63">
        <f t="shared" si="126"/>
        <v>0</v>
      </c>
      <c r="U111" s="63">
        <f t="shared" si="126"/>
        <v>0</v>
      </c>
      <c r="V111" s="63">
        <f t="shared" si="126"/>
        <v>0</v>
      </c>
      <c r="W111" s="63">
        <f t="shared" si="126"/>
        <v>0</v>
      </c>
      <c r="X111" s="63">
        <f t="shared" si="126"/>
        <v>0</v>
      </c>
      <c r="Y111" s="63">
        <f t="shared" si="126"/>
        <v>0</v>
      </c>
      <c r="Z111" s="63">
        <f t="shared" si="126"/>
        <v>0</v>
      </c>
      <c r="AB111" s="64">
        <f t="shared" si="119"/>
        <v>0</v>
      </c>
      <c r="AC111" s="63">
        <f t="shared" si="120"/>
        <v>0</v>
      </c>
      <c r="AD111" s="65">
        <f t="shared" si="121"/>
        <v>0</v>
      </c>
    </row>
    <row r="112" spans="1:30" x14ac:dyDescent="0.2">
      <c r="A112" s="249"/>
      <c r="B112" s="249">
        <f>ship3</f>
        <v>0</v>
      </c>
      <c r="C112" s="72" t="s">
        <v>17</v>
      </c>
      <c r="D112" s="56">
        <f t="shared" ref="D112:Z112" si="127">IF(D$2&lt;2015,D$62*(SUM(ship3_fuel_type1*fuel_type1_cal1.0*D$5,ship3_fuel_type2*fuel_type2_cal1.0*D$17,ship3_fuel_type3*fuel_type3_cal1.0*D$29,ship3_fuel_type4*fuel_type4_cal1.0*D$41)),D$62*(SUM(ship3_fuel_type1*fuel_type1_cal0.1*D$7,ship3_fuel_type2*fuel_type2_cal0.1*D$19,ship3_fuel_type3*fuel_type3_cal0.1*D$31,ship3_fuel_type4*fuel_type4_cal0.1*D$43)))</f>
        <v>0</v>
      </c>
      <c r="E112" s="56">
        <f t="shared" si="127"/>
        <v>0</v>
      </c>
      <c r="F112" s="56">
        <f t="shared" si="127"/>
        <v>0</v>
      </c>
      <c r="G112" s="56">
        <f t="shared" si="127"/>
        <v>0</v>
      </c>
      <c r="H112" s="56">
        <f t="shared" si="127"/>
        <v>0</v>
      </c>
      <c r="I112" s="56">
        <f t="shared" si="127"/>
        <v>0</v>
      </c>
      <c r="J112" s="56">
        <f t="shared" si="127"/>
        <v>0</v>
      </c>
      <c r="K112" s="56">
        <f t="shared" si="127"/>
        <v>0</v>
      </c>
      <c r="L112" s="56">
        <f t="shared" si="127"/>
        <v>0</v>
      </c>
      <c r="M112" s="56">
        <f t="shared" si="127"/>
        <v>0</v>
      </c>
      <c r="N112" s="56">
        <f t="shared" si="127"/>
        <v>0</v>
      </c>
      <c r="O112" s="56">
        <f t="shared" si="127"/>
        <v>0</v>
      </c>
      <c r="P112" s="56">
        <f t="shared" si="127"/>
        <v>0</v>
      </c>
      <c r="Q112" s="56">
        <f t="shared" si="127"/>
        <v>0</v>
      </c>
      <c r="R112" s="56">
        <f t="shared" si="127"/>
        <v>0</v>
      </c>
      <c r="S112" s="56">
        <f t="shared" si="127"/>
        <v>0</v>
      </c>
      <c r="T112" s="56">
        <f t="shared" si="127"/>
        <v>0</v>
      </c>
      <c r="U112" s="56">
        <f t="shared" si="127"/>
        <v>0</v>
      </c>
      <c r="V112" s="56">
        <f t="shared" si="127"/>
        <v>0</v>
      </c>
      <c r="W112" s="56">
        <f t="shared" si="127"/>
        <v>0</v>
      </c>
      <c r="X112" s="56">
        <f t="shared" si="127"/>
        <v>0</v>
      </c>
      <c r="Y112" s="56">
        <f t="shared" si="127"/>
        <v>0</v>
      </c>
      <c r="Z112" s="56">
        <f t="shared" si="127"/>
        <v>0</v>
      </c>
      <c r="AB112" s="66">
        <f t="shared" si="119"/>
        <v>0</v>
      </c>
      <c r="AC112" s="56">
        <f t="shared" si="120"/>
        <v>0</v>
      </c>
      <c r="AD112" s="67">
        <f t="shared" si="121"/>
        <v>0</v>
      </c>
    </row>
    <row r="113" spans="1:30" x14ac:dyDescent="0.2">
      <c r="A113" s="249"/>
      <c r="B113" s="249"/>
      <c r="C113" s="72" t="s">
        <v>18</v>
      </c>
      <c r="D113" s="60">
        <f t="shared" ref="D113:Z113" si="128">IF(D$2&lt;2015,D$62*(SUM(ship3_fuel_type1*fuel_type1_cal1.0*D$9,ship3_fuel_type2*fuel_type2_cal1.0*D$21,ship3_fuel_type3*fuel_type3_cal1.0*D$33,ship3_fuel_type4*fuel_type4_cal1.0*D$45)),D$62*(SUM(ship3_fuel_type1*fuel_type1_cal0.1*D$11,ship3_fuel_type2*fuel_type2_cal0.1*D$23,ship3_fuel_type3*fuel_type3_cal0.1*D$35,ship3_fuel_type4*fuel_type4_cal0.1*D$47)))</f>
        <v>0</v>
      </c>
      <c r="E113" s="60">
        <f t="shared" si="128"/>
        <v>0</v>
      </c>
      <c r="F113" s="60">
        <f t="shared" si="128"/>
        <v>0</v>
      </c>
      <c r="G113" s="60">
        <f t="shared" si="128"/>
        <v>0</v>
      </c>
      <c r="H113" s="60">
        <f t="shared" si="128"/>
        <v>0</v>
      </c>
      <c r="I113" s="60">
        <f t="shared" si="128"/>
        <v>0</v>
      </c>
      <c r="J113" s="60">
        <f t="shared" si="128"/>
        <v>0</v>
      </c>
      <c r="K113" s="60">
        <f t="shared" si="128"/>
        <v>0</v>
      </c>
      <c r="L113" s="60">
        <f t="shared" si="128"/>
        <v>0</v>
      </c>
      <c r="M113" s="60">
        <f t="shared" si="128"/>
        <v>0</v>
      </c>
      <c r="N113" s="60">
        <f t="shared" si="128"/>
        <v>0</v>
      </c>
      <c r="O113" s="60">
        <f t="shared" si="128"/>
        <v>0</v>
      </c>
      <c r="P113" s="60">
        <f t="shared" si="128"/>
        <v>0</v>
      </c>
      <c r="Q113" s="60">
        <f t="shared" si="128"/>
        <v>0</v>
      </c>
      <c r="R113" s="60">
        <f t="shared" si="128"/>
        <v>0</v>
      </c>
      <c r="S113" s="60">
        <f t="shared" si="128"/>
        <v>0</v>
      </c>
      <c r="T113" s="60">
        <f t="shared" si="128"/>
        <v>0</v>
      </c>
      <c r="U113" s="60">
        <f t="shared" si="128"/>
        <v>0</v>
      </c>
      <c r="V113" s="60">
        <f t="shared" si="128"/>
        <v>0</v>
      </c>
      <c r="W113" s="60">
        <f t="shared" si="128"/>
        <v>0</v>
      </c>
      <c r="X113" s="60">
        <f t="shared" si="128"/>
        <v>0</v>
      </c>
      <c r="Y113" s="60">
        <f t="shared" si="128"/>
        <v>0</v>
      </c>
      <c r="Z113" s="60">
        <f t="shared" si="128"/>
        <v>0</v>
      </c>
      <c r="AB113" s="61">
        <f t="shared" si="119"/>
        <v>0</v>
      </c>
      <c r="AC113" s="60">
        <f t="shared" si="120"/>
        <v>0</v>
      </c>
      <c r="AD113" s="62">
        <f t="shared" si="121"/>
        <v>0</v>
      </c>
    </row>
    <row r="114" spans="1:30" x14ac:dyDescent="0.2">
      <c r="A114" s="249"/>
      <c r="B114" s="249"/>
      <c r="C114" s="72" t="s">
        <v>19</v>
      </c>
      <c r="D114" s="63">
        <f t="shared" ref="D114:Z114" si="129">IF(D$2&lt;2015,D$62*(SUM(ship3_fuel_type1*fuel_type1_cal1.0*D$13,ship3_fuel_type2*fuel_type2_cal1.0*D$25,ship3_fuel_type3*fuel_type3_cal1.0*D$37,ship3_fuel_type4*fuel_type4_cal1.0*D$49)),D$62*(SUM(ship3_fuel_type1*fuel_type1_cal0.1*D$15,ship3_fuel_type2*fuel_type2_cal0.1*D$27,ship3_fuel_type3*fuel_type3_cal0.1*D$39,ship3_fuel_type4*fuel_type4_cal0.1*D$51)))</f>
        <v>0</v>
      </c>
      <c r="E114" s="63">
        <f t="shared" si="129"/>
        <v>0</v>
      </c>
      <c r="F114" s="63">
        <f t="shared" si="129"/>
        <v>0</v>
      </c>
      <c r="G114" s="63">
        <f t="shared" si="129"/>
        <v>0</v>
      </c>
      <c r="H114" s="63">
        <f t="shared" si="129"/>
        <v>0</v>
      </c>
      <c r="I114" s="63">
        <f t="shared" si="129"/>
        <v>0</v>
      </c>
      <c r="J114" s="63">
        <f t="shared" si="129"/>
        <v>0</v>
      </c>
      <c r="K114" s="63">
        <f t="shared" si="129"/>
        <v>0</v>
      </c>
      <c r="L114" s="63">
        <f t="shared" si="129"/>
        <v>0</v>
      </c>
      <c r="M114" s="63">
        <f t="shared" si="129"/>
        <v>0</v>
      </c>
      <c r="N114" s="63">
        <f t="shared" si="129"/>
        <v>0</v>
      </c>
      <c r="O114" s="63">
        <f t="shared" si="129"/>
        <v>0</v>
      </c>
      <c r="P114" s="63">
        <f t="shared" si="129"/>
        <v>0</v>
      </c>
      <c r="Q114" s="63">
        <f t="shared" si="129"/>
        <v>0</v>
      </c>
      <c r="R114" s="63">
        <f t="shared" si="129"/>
        <v>0</v>
      </c>
      <c r="S114" s="63">
        <f t="shared" si="129"/>
        <v>0</v>
      </c>
      <c r="T114" s="63">
        <f t="shared" si="129"/>
        <v>0</v>
      </c>
      <c r="U114" s="63">
        <f t="shared" si="129"/>
        <v>0</v>
      </c>
      <c r="V114" s="63">
        <f t="shared" si="129"/>
        <v>0</v>
      </c>
      <c r="W114" s="63">
        <f t="shared" si="129"/>
        <v>0</v>
      </c>
      <c r="X114" s="63">
        <f t="shared" si="129"/>
        <v>0</v>
      </c>
      <c r="Y114" s="63">
        <f t="shared" si="129"/>
        <v>0</v>
      </c>
      <c r="Z114" s="63">
        <f t="shared" si="129"/>
        <v>0</v>
      </c>
      <c r="AB114" s="64">
        <f t="shared" si="119"/>
        <v>0</v>
      </c>
      <c r="AC114" s="63">
        <f t="shared" si="120"/>
        <v>0</v>
      </c>
      <c r="AD114" s="65">
        <f t="shared" si="121"/>
        <v>0</v>
      </c>
    </row>
    <row r="115" spans="1:30" x14ac:dyDescent="0.2">
      <c r="A115" s="249"/>
      <c r="B115" s="249">
        <f>ship4</f>
        <v>0</v>
      </c>
      <c r="C115" s="72" t="s">
        <v>17</v>
      </c>
      <c r="D115" s="56">
        <f t="shared" ref="D115:Z115" si="130">IF(D$2&lt;2015,D$64*(SUM(ship4_fuel_type1*fuel_type1_cal1.0*D$5,ship4_fuel_type2*fuel_type2_cal1.0*D$17,ship4_fuel_type3*fuel_type3_cal1.0*D$29,ship4_fuel_type4*fuel_type4_cal1.0*D$41)),D$64*(SUM(ship4_fuel_type1*fuel_type1_cal0.1*D$7,ship4_fuel_type2*fuel_type2_cal0.1*D$19,ship4_fuel_type3*fuel_type3_cal0.1*D$31,ship4_fuel_type4*fuel_type4_cal0.1*D$43)))</f>
        <v>0</v>
      </c>
      <c r="E115" s="56">
        <f t="shared" si="130"/>
        <v>0</v>
      </c>
      <c r="F115" s="56">
        <f t="shared" si="130"/>
        <v>0</v>
      </c>
      <c r="G115" s="56">
        <f t="shared" si="130"/>
        <v>0</v>
      </c>
      <c r="H115" s="56">
        <f t="shared" si="130"/>
        <v>0</v>
      </c>
      <c r="I115" s="56">
        <f t="shared" si="130"/>
        <v>0</v>
      </c>
      <c r="J115" s="56">
        <f t="shared" si="130"/>
        <v>0</v>
      </c>
      <c r="K115" s="56">
        <f t="shared" si="130"/>
        <v>0</v>
      </c>
      <c r="L115" s="56">
        <f t="shared" si="130"/>
        <v>0</v>
      </c>
      <c r="M115" s="56">
        <f t="shared" si="130"/>
        <v>0</v>
      </c>
      <c r="N115" s="56">
        <f t="shared" si="130"/>
        <v>0</v>
      </c>
      <c r="O115" s="56">
        <f t="shared" si="130"/>
        <v>0</v>
      </c>
      <c r="P115" s="56">
        <f t="shared" si="130"/>
        <v>0</v>
      </c>
      <c r="Q115" s="56">
        <f t="shared" si="130"/>
        <v>0</v>
      </c>
      <c r="R115" s="56">
        <f t="shared" si="130"/>
        <v>0</v>
      </c>
      <c r="S115" s="56">
        <f t="shared" si="130"/>
        <v>0</v>
      </c>
      <c r="T115" s="56">
        <f t="shared" si="130"/>
        <v>0</v>
      </c>
      <c r="U115" s="56">
        <f t="shared" si="130"/>
        <v>0</v>
      </c>
      <c r="V115" s="56">
        <f t="shared" si="130"/>
        <v>0</v>
      </c>
      <c r="W115" s="56">
        <f t="shared" si="130"/>
        <v>0</v>
      </c>
      <c r="X115" s="56">
        <f t="shared" si="130"/>
        <v>0</v>
      </c>
      <c r="Y115" s="56">
        <f t="shared" si="130"/>
        <v>0</v>
      </c>
      <c r="Z115" s="56">
        <f t="shared" si="130"/>
        <v>0</v>
      </c>
      <c r="AB115" s="66">
        <f t="shared" si="119"/>
        <v>0</v>
      </c>
      <c r="AC115" s="56">
        <f t="shared" si="120"/>
        <v>0</v>
      </c>
      <c r="AD115" s="67">
        <f t="shared" si="121"/>
        <v>0</v>
      </c>
    </row>
    <row r="116" spans="1:30" x14ac:dyDescent="0.2">
      <c r="A116" s="249"/>
      <c r="B116" s="249"/>
      <c r="C116" s="72" t="s">
        <v>18</v>
      </c>
      <c r="D116" s="60">
        <f t="shared" ref="D116:Z116" si="131">IF(D$2&lt;2015,D$64*(SUM(ship4_fuel_type1*fuel_type1_cal1.0*D$9,ship4_fuel_type2*fuel_type2_cal1.0*D$21,ship4_fuel_type3*fuel_type3_cal1.0*D$33,ship4_fuel_type4*fuel_type4_cal1.0*D$45)),D$64*(SUM(ship4_fuel_type1*fuel_type1_cal0.1*D$11,ship4_fuel_type2*fuel_type2_cal0.1*D$23,ship4_fuel_type3*fuel_type3_cal0.1*D$35,ship4_fuel_type4*fuel_type4_cal0.1*D$47)))</f>
        <v>0</v>
      </c>
      <c r="E116" s="60">
        <f t="shared" si="131"/>
        <v>0</v>
      </c>
      <c r="F116" s="60">
        <f t="shared" si="131"/>
        <v>0</v>
      </c>
      <c r="G116" s="60">
        <f t="shared" si="131"/>
        <v>0</v>
      </c>
      <c r="H116" s="60">
        <f t="shared" si="131"/>
        <v>0</v>
      </c>
      <c r="I116" s="60">
        <f t="shared" si="131"/>
        <v>0</v>
      </c>
      <c r="J116" s="60">
        <f t="shared" si="131"/>
        <v>0</v>
      </c>
      <c r="K116" s="60">
        <f t="shared" si="131"/>
        <v>0</v>
      </c>
      <c r="L116" s="60">
        <f t="shared" si="131"/>
        <v>0</v>
      </c>
      <c r="M116" s="60">
        <f t="shared" si="131"/>
        <v>0</v>
      </c>
      <c r="N116" s="60">
        <f t="shared" si="131"/>
        <v>0</v>
      </c>
      <c r="O116" s="60">
        <f t="shared" si="131"/>
        <v>0</v>
      </c>
      <c r="P116" s="60">
        <f t="shared" si="131"/>
        <v>0</v>
      </c>
      <c r="Q116" s="60">
        <f t="shared" si="131"/>
        <v>0</v>
      </c>
      <c r="R116" s="60">
        <f t="shared" si="131"/>
        <v>0</v>
      </c>
      <c r="S116" s="60">
        <f t="shared" si="131"/>
        <v>0</v>
      </c>
      <c r="T116" s="60">
        <f t="shared" si="131"/>
        <v>0</v>
      </c>
      <c r="U116" s="60">
        <f t="shared" si="131"/>
        <v>0</v>
      </c>
      <c r="V116" s="60">
        <f t="shared" si="131"/>
        <v>0</v>
      </c>
      <c r="W116" s="60">
        <f t="shared" si="131"/>
        <v>0</v>
      </c>
      <c r="X116" s="60">
        <f t="shared" si="131"/>
        <v>0</v>
      </c>
      <c r="Y116" s="60">
        <f t="shared" si="131"/>
        <v>0</v>
      </c>
      <c r="Z116" s="60">
        <f t="shared" si="131"/>
        <v>0</v>
      </c>
      <c r="AB116" s="61">
        <f t="shared" si="119"/>
        <v>0</v>
      </c>
      <c r="AC116" s="60">
        <f t="shared" si="120"/>
        <v>0</v>
      </c>
      <c r="AD116" s="62">
        <f t="shared" si="121"/>
        <v>0</v>
      </c>
    </row>
    <row r="117" spans="1:30" x14ac:dyDescent="0.2">
      <c r="A117" s="249"/>
      <c r="B117" s="249"/>
      <c r="C117" s="72" t="s">
        <v>19</v>
      </c>
      <c r="D117" s="63">
        <f t="shared" ref="D117:Z117" si="132">IF(D$2&lt;2015,D$64*(SUM(ship4_fuel_type1*fuel_type1_cal1.0*D$13,ship4_fuel_type2*fuel_type2_cal1.0*D$25,ship4_fuel_type3*fuel_type3_cal1.0*D$37,ship4_fuel_type4*fuel_type4_cal1.0*D$49)),D$64*(SUM(ship4_fuel_type1*fuel_type1_cal0.1*D$15,ship4_fuel_type2*fuel_type2_cal0.1*D$27,ship4_fuel_type3*fuel_type3_cal0.1*D$39,ship4_fuel_type4*fuel_type4_cal0.1*D$51)))</f>
        <v>0</v>
      </c>
      <c r="E117" s="63">
        <f t="shared" si="132"/>
        <v>0</v>
      </c>
      <c r="F117" s="63">
        <f t="shared" si="132"/>
        <v>0</v>
      </c>
      <c r="G117" s="63">
        <f t="shared" si="132"/>
        <v>0</v>
      </c>
      <c r="H117" s="63">
        <f t="shared" si="132"/>
        <v>0</v>
      </c>
      <c r="I117" s="63">
        <f t="shared" si="132"/>
        <v>0</v>
      </c>
      <c r="J117" s="63">
        <f t="shared" si="132"/>
        <v>0</v>
      </c>
      <c r="K117" s="63">
        <f t="shared" si="132"/>
        <v>0</v>
      </c>
      <c r="L117" s="63">
        <f t="shared" si="132"/>
        <v>0</v>
      </c>
      <c r="M117" s="63">
        <f t="shared" si="132"/>
        <v>0</v>
      </c>
      <c r="N117" s="63">
        <f t="shared" si="132"/>
        <v>0</v>
      </c>
      <c r="O117" s="63">
        <f t="shared" si="132"/>
        <v>0</v>
      </c>
      <c r="P117" s="63">
        <f t="shared" si="132"/>
        <v>0</v>
      </c>
      <c r="Q117" s="63">
        <f t="shared" si="132"/>
        <v>0</v>
      </c>
      <c r="R117" s="63">
        <f t="shared" si="132"/>
        <v>0</v>
      </c>
      <c r="S117" s="63">
        <f t="shared" si="132"/>
        <v>0</v>
      </c>
      <c r="T117" s="63">
        <f t="shared" si="132"/>
        <v>0</v>
      </c>
      <c r="U117" s="63">
        <f t="shared" si="132"/>
        <v>0</v>
      </c>
      <c r="V117" s="63">
        <f t="shared" si="132"/>
        <v>0</v>
      </c>
      <c r="W117" s="63">
        <f t="shared" si="132"/>
        <v>0</v>
      </c>
      <c r="X117" s="63">
        <f t="shared" si="132"/>
        <v>0</v>
      </c>
      <c r="Y117" s="63">
        <f t="shared" si="132"/>
        <v>0</v>
      </c>
      <c r="Z117" s="63">
        <f t="shared" si="132"/>
        <v>0</v>
      </c>
      <c r="AB117" s="64">
        <f t="shared" si="119"/>
        <v>0</v>
      </c>
      <c r="AC117" s="63">
        <f t="shared" si="120"/>
        <v>0</v>
      </c>
      <c r="AD117" s="65">
        <f t="shared" si="121"/>
        <v>0</v>
      </c>
    </row>
    <row r="118" spans="1:30" x14ac:dyDescent="0.2">
      <c r="A118" s="249"/>
      <c r="B118" s="249">
        <f>ship5</f>
        <v>0</v>
      </c>
      <c r="C118" s="72" t="s">
        <v>17</v>
      </c>
      <c r="D118" s="56">
        <f t="shared" ref="D118:Z118" si="133">IF(D$2&lt;2015,D$66*(SUM(ship5_fuel_type1*fuel_type1_cal1.0*D$5,ship5_fuel_type2*fuel_type2_cal1.0*D$17,ship5_fuel_type3*fuel_type3_cal1.0*D$29,ship5_fuel_type4*fuel_type4_cal1.0*D$41)),D$66*(SUM(ship5_fuel_type1*fuel_type1_cal0.1*D$7,ship5_fuel_type2*fuel_type2_cal0.1*D$19,ship5_fuel_type3*fuel_type3_cal0.1*D$31,ship5_fuel_type4*fuel_type4_cal0.1*D$43)))</f>
        <v>0</v>
      </c>
      <c r="E118" s="56">
        <f t="shared" si="133"/>
        <v>0</v>
      </c>
      <c r="F118" s="56">
        <f t="shared" si="133"/>
        <v>0</v>
      </c>
      <c r="G118" s="56">
        <f t="shared" si="133"/>
        <v>0</v>
      </c>
      <c r="H118" s="56">
        <f t="shared" si="133"/>
        <v>0</v>
      </c>
      <c r="I118" s="56">
        <f t="shared" si="133"/>
        <v>0</v>
      </c>
      <c r="J118" s="56">
        <f t="shared" si="133"/>
        <v>0</v>
      </c>
      <c r="K118" s="56">
        <f t="shared" si="133"/>
        <v>0</v>
      </c>
      <c r="L118" s="56">
        <f t="shared" si="133"/>
        <v>0</v>
      </c>
      <c r="M118" s="56">
        <f t="shared" si="133"/>
        <v>0</v>
      </c>
      <c r="N118" s="56">
        <f t="shared" si="133"/>
        <v>0</v>
      </c>
      <c r="O118" s="56">
        <f t="shared" si="133"/>
        <v>0</v>
      </c>
      <c r="P118" s="56">
        <f t="shared" si="133"/>
        <v>0</v>
      </c>
      <c r="Q118" s="56">
        <f t="shared" si="133"/>
        <v>0</v>
      </c>
      <c r="R118" s="56">
        <f t="shared" si="133"/>
        <v>0</v>
      </c>
      <c r="S118" s="56">
        <f t="shared" si="133"/>
        <v>0</v>
      </c>
      <c r="T118" s="56">
        <f t="shared" si="133"/>
        <v>0</v>
      </c>
      <c r="U118" s="56">
        <f t="shared" si="133"/>
        <v>0</v>
      </c>
      <c r="V118" s="56">
        <f t="shared" si="133"/>
        <v>0</v>
      </c>
      <c r="W118" s="56">
        <f t="shared" si="133"/>
        <v>0</v>
      </c>
      <c r="X118" s="56">
        <f t="shared" si="133"/>
        <v>0</v>
      </c>
      <c r="Y118" s="56">
        <f t="shared" si="133"/>
        <v>0</v>
      </c>
      <c r="Z118" s="56">
        <f t="shared" si="133"/>
        <v>0</v>
      </c>
      <c r="AB118" s="66">
        <f t="shared" si="119"/>
        <v>0</v>
      </c>
      <c r="AC118" s="56">
        <f t="shared" si="120"/>
        <v>0</v>
      </c>
      <c r="AD118" s="67">
        <f t="shared" si="121"/>
        <v>0</v>
      </c>
    </row>
    <row r="119" spans="1:30" x14ac:dyDescent="0.2">
      <c r="A119" s="249"/>
      <c r="B119" s="249"/>
      <c r="C119" s="72" t="s">
        <v>18</v>
      </c>
      <c r="D119" s="60">
        <f t="shared" ref="D119:Z119" si="134">IF(D$2&lt;2015,D$66*(SUM(ship5_fuel_type1*fuel_type1_cal1.0*D$9,ship5_fuel_type2*fuel_type2_cal1.0*D$21,ship5_fuel_type3*fuel_type3_cal1.0*D$33,ship5_fuel_type4*fuel_type4_cal1.0*D$45)),D$66*(SUM(ship5_fuel_type1*fuel_type1_cal0.1*D$11,ship5_fuel_type2*fuel_type2_cal0.1*D$23,ship5_fuel_type3*fuel_type3_cal0.1*D$35,ship5_fuel_type4*fuel_type4_cal0.1*D$47)))</f>
        <v>0</v>
      </c>
      <c r="E119" s="60">
        <f t="shared" si="134"/>
        <v>0</v>
      </c>
      <c r="F119" s="60">
        <f t="shared" si="134"/>
        <v>0</v>
      </c>
      <c r="G119" s="60">
        <f t="shared" si="134"/>
        <v>0</v>
      </c>
      <c r="H119" s="60">
        <f t="shared" si="134"/>
        <v>0</v>
      </c>
      <c r="I119" s="60">
        <f t="shared" si="134"/>
        <v>0</v>
      </c>
      <c r="J119" s="60">
        <f t="shared" si="134"/>
        <v>0</v>
      </c>
      <c r="K119" s="60">
        <f t="shared" si="134"/>
        <v>0</v>
      </c>
      <c r="L119" s="60">
        <f t="shared" si="134"/>
        <v>0</v>
      </c>
      <c r="M119" s="60">
        <f t="shared" si="134"/>
        <v>0</v>
      </c>
      <c r="N119" s="60">
        <f t="shared" si="134"/>
        <v>0</v>
      </c>
      <c r="O119" s="60">
        <f t="shared" si="134"/>
        <v>0</v>
      </c>
      <c r="P119" s="60">
        <f t="shared" si="134"/>
        <v>0</v>
      </c>
      <c r="Q119" s="60">
        <f t="shared" si="134"/>
        <v>0</v>
      </c>
      <c r="R119" s="60">
        <f t="shared" si="134"/>
        <v>0</v>
      </c>
      <c r="S119" s="60">
        <f t="shared" si="134"/>
        <v>0</v>
      </c>
      <c r="T119" s="60">
        <f t="shared" si="134"/>
        <v>0</v>
      </c>
      <c r="U119" s="60">
        <f t="shared" si="134"/>
        <v>0</v>
      </c>
      <c r="V119" s="60">
        <f t="shared" si="134"/>
        <v>0</v>
      </c>
      <c r="W119" s="60">
        <f t="shared" si="134"/>
        <v>0</v>
      </c>
      <c r="X119" s="60">
        <f t="shared" si="134"/>
        <v>0</v>
      </c>
      <c r="Y119" s="60">
        <f t="shared" si="134"/>
        <v>0</v>
      </c>
      <c r="Z119" s="60">
        <f t="shared" si="134"/>
        <v>0</v>
      </c>
      <c r="AB119" s="61">
        <f t="shared" si="119"/>
        <v>0</v>
      </c>
      <c r="AC119" s="60">
        <f t="shared" si="120"/>
        <v>0</v>
      </c>
      <c r="AD119" s="62">
        <f t="shared" si="121"/>
        <v>0</v>
      </c>
    </row>
    <row r="120" spans="1:30" x14ac:dyDescent="0.2">
      <c r="A120" s="249"/>
      <c r="B120" s="249"/>
      <c r="C120" s="72" t="s">
        <v>19</v>
      </c>
      <c r="D120" s="63">
        <f t="shared" ref="D120:Z120" si="135">IF(D$2&lt;2015,D$66*(SUM(ship5_fuel_type1*fuel_type1_cal1.0*D$13,ship5_fuel_type2*fuel_type2_cal1.0*D$25,ship5_fuel_type3*fuel_type3_cal1.0*D$37,ship5_fuel_type4*fuel_type4_cal1.0*D$49)),D$66*(SUM(ship5_fuel_type1*fuel_type1_cal0.1*D$15,ship5_fuel_type2*fuel_type2_cal0.1*D$27,ship5_fuel_type3*fuel_type3_cal0.1*D$39,ship5_fuel_type4*fuel_type4_cal0.1*D$51)))</f>
        <v>0</v>
      </c>
      <c r="E120" s="63">
        <f t="shared" si="135"/>
        <v>0</v>
      </c>
      <c r="F120" s="63">
        <f t="shared" si="135"/>
        <v>0</v>
      </c>
      <c r="G120" s="63">
        <f t="shared" si="135"/>
        <v>0</v>
      </c>
      <c r="H120" s="63">
        <f t="shared" si="135"/>
        <v>0</v>
      </c>
      <c r="I120" s="63">
        <f t="shared" si="135"/>
        <v>0</v>
      </c>
      <c r="J120" s="63">
        <f t="shared" si="135"/>
        <v>0</v>
      </c>
      <c r="K120" s="63">
        <f t="shared" si="135"/>
        <v>0</v>
      </c>
      <c r="L120" s="63">
        <f t="shared" si="135"/>
        <v>0</v>
      </c>
      <c r="M120" s="63">
        <f t="shared" si="135"/>
        <v>0</v>
      </c>
      <c r="N120" s="63">
        <f t="shared" si="135"/>
        <v>0</v>
      </c>
      <c r="O120" s="63">
        <f t="shared" si="135"/>
        <v>0</v>
      </c>
      <c r="P120" s="63">
        <f t="shared" si="135"/>
        <v>0</v>
      </c>
      <c r="Q120" s="63">
        <f t="shared" si="135"/>
        <v>0</v>
      </c>
      <c r="R120" s="63">
        <f t="shared" si="135"/>
        <v>0</v>
      </c>
      <c r="S120" s="63">
        <f t="shared" si="135"/>
        <v>0</v>
      </c>
      <c r="T120" s="63">
        <f t="shared" si="135"/>
        <v>0</v>
      </c>
      <c r="U120" s="63">
        <f t="shared" si="135"/>
        <v>0</v>
      </c>
      <c r="V120" s="63">
        <f t="shared" si="135"/>
        <v>0</v>
      </c>
      <c r="W120" s="63">
        <f t="shared" si="135"/>
        <v>0</v>
      </c>
      <c r="X120" s="63">
        <f t="shared" si="135"/>
        <v>0</v>
      </c>
      <c r="Y120" s="63">
        <f t="shared" si="135"/>
        <v>0</v>
      </c>
      <c r="Z120" s="63">
        <f t="shared" si="135"/>
        <v>0</v>
      </c>
      <c r="AB120" s="64">
        <f t="shared" si="119"/>
        <v>0</v>
      </c>
      <c r="AC120" s="63">
        <f t="shared" si="120"/>
        <v>0</v>
      </c>
      <c r="AD120" s="65">
        <f t="shared" si="121"/>
        <v>0</v>
      </c>
    </row>
    <row r="121" spans="1:30" x14ac:dyDescent="0.2">
      <c r="A121" s="249"/>
      <c r="B121" s="249">
        <f>ship6</f>
        <v>0</v>
      </c>
      <c r="C121" s="72" t="s">
        <v>17</v>
      </c>
      <c r="D121" s="56">
        <f t="shared" ref="D121:Z121" si="136">IF(D$2&lt;2015,D$68*(SUM(ship6_fuel_type1*fuel_type1_cal1.0*D$5,ship6_fuel_type2*fuel_type2_cal1.0*D$17,ship6_fuel_type3*fuel_type3_cal1.0*D$29,ship6_fuel_type4*fuel_type4_cal1.0*D$41)),D$68*(SUM(ship6_fuel_type1*fuel_type1_cal0.1*D$7,ship6_fuel_type2*fuel_type2_cal0.1*D$19,ship6_fuel_type3*fuel_type3_cal0.1*D$31,ship6_fuel_type4*fuel_type4_cal0.1*D$43)))</f>
        <v>0</v>
      </c>
      <c r="E121" s="56">
        <f t="shared" si="136"/>
        <v>0</v>
      </c>
      <c r="F121" s="56">
        <f t="shared" si="136"/>
        <v>0</v>
      </c>
      <c r="G121" s="56">
        <f t="shared" si="136"/>
        <v>0</v>
      </c>
      <c r="H121" s="56">
        <f t="shared" si="136"/>
        <v>0</v>
      </c>
      <c r="I121" s="56">
        <f t="shared" si="136"/>
        <v>0</v>
      </c>
      <c r="J121" s="56">
        <f t="shared" si="136"/>
        <v>0</v>
      </c>
      <c r="K121" s="56">
        <f t="shared" si="136"/>
        <v>0</v>
      </c>
      <c r="L121" s="56">
        <f t="shared" si="136"/>
        <v>0</v>
      </c>
      <c r="M121" s="56">
        <f t="shared" si="136"/>
        <v>0</v>
      </c>
      <c r="N121" s="56">
        <f t="shared" si="136"/>
        <v>0</v>
      </c>
      <c r="O121" s="56">
        <f t="shared" si="136"/>
        <v>0</v>
      </c>
      <c r="P121" s="56">
        <f t="shared" si="136"/>
        <v>0</v>
      </c>
      <c r="Q121" s="56">
        <f t="shared" si="136"/>
        <v>0</v>
      </c>
      <c r="R121" s="56">
        <f t="shared" si="136"/>
        <v>0</v>
      </c>
      <c r="S121" s="56">
        <f t="shared" si="136"/>
        <v>0</v>
      </c>
      <c r="T121" s="56">
        <f t="shared" si="136"/>
        <v>0</v>
      </c>
      <c r="U121" s="56">
        <f t="shared" si="136"/>
        <v>0</v>
      </c>
      <c r="V121" s="56">
        <f t="shared" si="136"/>
        <v>0</v>
      </c>
      <c r="W121" s="56">
        <f t="shared" si="136"/>
        <v>0</v>
      </c>
      <c r="X121" s="56">
        <f t="shared" si="136"/>
        <v>0</v>
      </c>
      <c r="Y121" s="56">
        <f t="shared" si="136"/>
        <v>0</v>
      </c>
      <c r="Z121" s="56">
        <f t="shared" si="136"/>
        <v>0</v>
      </c>
      <c r="AB121" s="66">
        <f t="shared" si="119"/>
        <v>0</v>
      </c>
      <c r="AC121" s="56">
        <f t="shared" si="120"/>
        <v>0</v>
      </c>
      <c r="AD121" s="67">
        <f t="shared" si="121"/>
        <v>0</v>
      </c>
    </row>
    <row r="122" spans="1:30" x14ac:dyDescent="0.2">
      <c r="A122" s="249"/>
      <c r="B122" s="249"/>
      <c r="C122" s="72" t="s">
        <v>18</v>
      </c>
      <c r="D122" s="60">
        <f t="shared" ref="D122:Z122" si="137">IF(D$2&lt;2015,D$68*(SUM(ship6_fuel_type1*fuel_type1_cal1.0*D$9,ship6_fuel_type2*fuel_type2_cal1.0*D$21,ship6_fuel_type3*fuel_type3_cal1.0*D$33,ship6_fuel_type4*fuel_type4_cal1.0*D$45)),D$68*(SUM(ship6_fuel_type1*fuel_type1_cal0.1*D$11,ship6_fuel_type2*fuel_type2_cal0.1*D$23,ship6_fuel_type3*fuel_type3_cal0.1*D$35,ship6_fuel_type4*fuel_type4_cal0.1*D$47)))</f>
        <v>0</v>
      </c>
      <c r="E122" s="60">
        <f t="shared" si="137"/>
        <v>0</v>
      </c>
      <c r="F122" s="60">
        <f t="shared" si="137"/>
        <v>0</v>
      </c>
      <c r="G122" s="60">
        <f t="shared" si="137"/>
        <v>0</v>
      </c>
      <c r="H122" s="60">
        <f t="shared" si="137"/>
        <v>0</v>
      </c>
      <c r="I122" s="60">
        <f t="shared" si="137"/>
        <v>0</v>
      </c>
      <c r="J122" s="60">
        <f t="shared" si="137"/>
        <v>0</v>
      </c>
      <c r="K122" s="60">
        <f t="shared" si="137"/>
        <v>0</v>
      </c>
      <c r="L122" s="60">
        <f t="shared" si="137"/>
        <v>0</v>
      </c>
      <c r="M122" s="60">
        <f t="shared" si="137"/>
        <v>0</v>
      </c>
      <c r="N122" s="60">
        <f t="shared" si="137"/>
        <v>0</v>
      </c>
      <c r="O122" s="60">
        <f t="shared" si="137"/>
        <v>0</v>
      </c>
      <c r="P122" s="60">
        <f t="shared" si="137"/>
        <v>0</v>
      </c>
      <c r="Q122" s="60">
        <f t="shared" si="137"/>
        <v>0</v>
      </c>
      <c r="R122" s="60">
        <f t="shared" si="137"/>
        <v>0</v>
      </c>
      <c r="S122" s="60">
        <f t="shared" si="137"/>
        <v>0</v>
      </c>
      <c r="T122" s="60">
        <f t="shared" si="137"/>
        <v>0</v>
      </c>
      <c r="U122" s="60">
        <f t="shared" si="137"/>
        <v>0</v>
      </c>
      <c r="V122" s="60">
        <f t="shared" si="137"/>
        <v>0</v>
      </c>
      <c r="W122" s="60">
        <f t="shared" si="137"/>
        <v>0</v>
      </c>
      <c r="X122" s="60">
        <f t="shared" si="137"/>
        <v>0</v>
      </c>
      <c r="Y122" s="60">
        <f t="shared" si="137"/>
        <v>0</v>
      </c>
      <c r="Z122" s="60">
        <f t="shared" si="137"/>
        <v>0</v>
      </c>
      <c r="AB122" s="61">
        <f t="shared" si="119"/>
        <v>0</v>
      </c>
      <c r="AC122" s="60">
        <f t="shared" si="120"/>
        <v>0</v>
      </c>
      <c r="AD122" s="62">
        <f t="shared" si="121"/>
        <v>0</v>
      </c>
    </row>
    <row r="123" spans="1:30" ht="13.5" thickBot="1" x14ac:dyDescent="0.25">
      <c r="A123" s="249"/>
      <c r="B123" s="249"/>
      <c r="C123" s="72" t="s">
        <v>19</v>
      </c>
      <c r="D123" s="63">
        <f t="shared" ref="D123:Z123" si="138">IF(D$2&lt;2015,D$68*(SUM(ship6_fuel_type1*fuel_type1_cal1.0*D$13,ship6_fuel_type2*fuel_type2_cal1.0*D$25,ship6_fuel_type3*fuel_type3_cal1.0*D$37,ship6_fuel_type4*fuel_type4_cal1.0*D$49)),D$68*(SUM(ship6_fuel_type1*fuel_type1_cal0.1*D$15,ship6_fuel_type2*fuel_type2_cal0.1*D$27,ship6_fuel_type3*fuel_type3_cal0.1*D$39,ship6_fuel_type4*fuel_type4_cal0.1*D$51)))</f>
        <v>0</v>
      </c>
      <c r="E123" s="63">
        <f t="shared" si="138"/>
        <v>0</v>
      </c>
      <c r="F123" s="63">
        <f t="shared" si="138"/>
        <v>0</v>
      </c>
      <c r="G123" s="63">
        <f t="shared" si="138"/>
        <v>0</v>
      </c>
      <c r="H123" s="63">
        <f t="shared" si="138"/>
        <v>0</v>
      </c>
      <c r="I123" s="63">
        <f t="shared" si="138"/>
        <v>0</v>
      </c>
      <c r="J123" s="63">
        <f t="shared" si="138"/>
        <v>0</v>
      </c>
      <c r="K123" s="63">
        <f t="shared" si="138"/>
        <v>0</v>
      </c>
      <c r="L123" s="63">
        <f t="shared" si="138"/>
        <v>0</v>
      </c>
      <c r="M123" s="63">
        <f t="shared" si="138"/>
        <v>0</v>
      </c>
      <c r="N123" s="63">
        <f t="shared" si="138"/>
        <v>0</v>
      </c>
      <c r="O123" s="63">
        <f t="shared" si="138"/>
        <v>0</v>
      </c>
      <c r="P123" s="63">
        <f t="shared" si="138"/>
        <v>0</v>
      </c>
      <c r="Q123" s="63">
        <f t="shared" si="138"/>
        <v>0</v>
      </c>
      <c r="R123" s="63">
        <f t="shared" si="138"/>
        <v>0</v>
      </c>
      <c r="S123" s="63">
        <f t="shared" si="138"/>
        <v>0</v>
      </c>
      <c r="T123" s="63">
        <f t="shared" si="138"/>
        <v>0</v>
      </c>
      <c r="U123" s="63">
        <f t="shared" si="138"/>
        <v>0</v>
      </c>
      <c r="V123" s="63">
        <f t="shared" si="138"/>
        <v>0</v>
      </c>
      <c r="W123" s="63">
        <f t="shared" si="138"/>
        <v>0</v>
      </c>
      <c r="X123" s="63">
        <f t="shared" si="138"/>
        <v>0</v>
      </c>
      <c r="Y123" s="63">
        <f t="shared" si="138"/>
        <v>0</v>
      </c>
      <c r="Z123" s="63">
        <f t="shared" si="138"/>
        <v>0</v>
      </c>
      <c r="AB123" s="68">
        <f t="shared" si="119"/>
        <v>0</v>
      </c>
      <c r="AC123" s="69">
        <f t="shared" si="120"/>
        <v>0</v>
      </c>
      <c r="AD123" s="70">
        <f t="shared" si="121"/>
        <v>0</v>
      </c>
    </row>
    <row r="124" spans="1:30" x14ac:dyDescent="0.2">
      <c r="A124" s="248" t="s">
        <v>38</v>
      </c>
      <c r="B124" s="248">
        <f>ship1</f>
        <v>0</v>
      </c>
      <c r="C124" s="30" t="s">
        <v>17</v>
      </c>
      <c r="D124" s="56">
        <f t="shared" ref="D124:D141" si="139">D88+D106</f>
        <v>0</v>
      </c>
      <c r="E124" s="56">
        <f t="shared" ref="E124:Z135" si="140">E88+E106</f>
        <v>0</v>
      </c>
      <c r="F124" s="56">
        <f t="shared" si="140"/>
        <v>0</v>
      </c>
      <c r="G124" s="56">
        <f t="shared" si="140"/>
        <v>0</v>
      </c>
      <c r="H124" s="56">
        <f t="shared" si="140"/>
        <v>0</v>
      </c>
      <c r="I124" s="56">
        <f t="shared" si="140"/>
        <v>0</v>
      </c>
      <c r="J124" s="56">
        <f t="shared" si="140"/>
        <v>0</v>
      </c>
      <c r="K124" s="56">
        <f t="shared" si="140"/>
        <v>0</v>
      </c>
      <c r="L124" s="56">
        <f t="shared" si="140"/>
        <v>0</v>
      </c>
      <c r="M124" s="56">
        <f t="shared" si="140"/>
        <v>0</v>
      </c>
      <c r="N124" s="56">
        <f t="shared" si="140"/>
        <v>0</v>
      </c>
      <c r="O124" s="56">
        <f t="shared" si="140"/>
        <v>0</v>
      </c>
      <c r="P124" s="56">
        <f t="shared" si="140"/>
        <v>0</v>
      </c>
      <c r="Q124" s="56">
        <f t="shared" si="140"/>
        <v>0</v>
      </c>
      <c r="R124" s="56">
        <f t="shared" si="140"/>
        <v>0</v>
      </c>
      <c r="S124" s="56">
        <f t="shared" si="140"/>
        <v>0</v>
      </c>
      <c r="T124" s="56">
        <f t="shared" si="140"/>
        <v>0</v>
      </c>
      <c r="U124" s="56">
        <f t="shared" si="140"/>
        <v>0</v>
      </c>
      <c r="V124" s="56">
        <f t="shared" si="140"/>
        <v>0</v>
      </c>
      <c r="W124" s="56">
        <f t="shared" si="140"/>
        <v>0</v>
      </c>
      <c r="X124" s="56">
        <f t="shared" si="140"/>
        <v>0</v>
      </c>
      <c r="Y124" s="56">
        <f t="shared" si="140"/>
        <v>0</v>
      </c>
      <c r="Z124" s="56">
        <f t="shared" si="140"/>
        <v>0</v>
      </c>
      <c r="AB124" s="57">
        <f t="shared" si="77"/>
        <v>0</v>
      </c>
      <c r="AC124" s="58">
        <f t="shared" si="78"/>
        <v>0</v>
      </c>
      <c r="AD124" s="59">
        <f t="shared" si="79"/>
        <v>0</v>
      </c>
    </row>
    <row r="125" spans="1:30" x14ac:dyDescent="0.2">
      <c r="A125" s="248"/>
      <c r="B125" s="248"/>
      <c r="C125" s="30" t="s">
        <v>18</v>
      </c>
      <c r="D125" s="60">
        <f t="shared" si="139"/>
        <v>0</v>
      </c>
      <c r="E125" s="60">
        <f t="shared" ref="E125:R125" si="141">E89+E107</f>
        <v>0</v>
      </c>
      <c r="F125" s="60">
        <f t="shared" si="141"/>
        <v>0</v>
      </c>
      <c r="G125" s="60">
        <f t="shared" si="141"/>
        <v>0</v>
      </c>
      <c r="H125" s="60">
        <f t="shared" si="141"/>
        <v>0</v>
      </c>
      <c r="I125" s="60">
        <f t="shared" si="141"/>
        <v>0</v>
      </c>
      <c r="J125" s="60">
        <f t="shared" si="141"/>
        <v>0</v>
      </c>
      <c r="K125" s="60">
        <f t="shared" si="141"/>
        <v>0</v>
      </c>
      <c r="L125" s="60">
        <f t="shared" si="141"/>
        <v>0</v>
      </c>
      <c r="M125" s="60">
        <f t="shared" si="141"/>
        <v>0</v>
      </c>
      <c r="N125" s="60">
        <f t="shared" si="141"/>
        <v>0</v>
      </c>
      <c r="O125" s="60">
        <f t="shared" si="141"/>
        <v>0</v>
      </c>
      <c r="P125" s="60">
        <f t="shared" si="141"/>
        <v>0</v>
      </c>
      <c r="Q125" s="60">
        <f t="shared" si="141"/>
        <v>0</v>
      </c>
      <c r="R125" s="60">
        <f t="shared" si="141"/>
        <v>0</v>
      </c>
      <c r="S125" s="60">
        <f t="shared" si="140"/>
        <v>0</v>
      </c>
      <c r="T125" s="60">
        <f t="shared" si="140"/>
        <v>0</v>
      </c>
      <c r="U125" s="60">
        <f t="shared" si="140"/>
        <v>0</v>
      </c>
      <c r="V125" s="60">
        <f t="shared" si="140"/>
        <v>0</v>
      </c>
      <c r="W125" s="60">
        <f t="shared" si="140"/>
        <v>0</v>
      </c>
      <c r="X125" s="60">
        <f t="shared" si="140"/>
        <v>0</v>
      </c>
      <c r="Y125" s="60">
        <f t="shared" si="140"/>
        <v>0</v>
      </c>
      <c r="Z125" s="60">
        <f t="shared" si="140"/>
        <v>0</v>
      </c>
      <c r="AB125" s="61">
        <f t="shared" si="77"/>
        <v>0</v>
      </c>
      <c r="AC125" s="60">
        <f t="shared" si="78"/>
        <v>0</v>
      </c>
      <c r="AD125" s="62">
        <f t="shared" si="79"/>
        <v>0</v>
      </c>
    </row>
    <row r="126" spans="1:30" x14ac:dyDescent="0.2">
      <c r="A126" s="248"/>
      <c r="B126" s="248"/>
      <c r="C126" s="30" t="s">
        <v>19</v>
      </c>
      <c r="D126" s="63">
        <f t="shared" si="139"/>
        <v>0</v>
      </c>
      <c r="E126" s="63">
        <f t="shared" si="140"/>
        <v>0</v>
      </c>
      <c r="F126" s="63">
        <f t="shared" si="140"/>
        <v>0</v>
      </c>
      <c r="G126" s="63">
        <f t="shared" si="140"/>
        <v>0</v>
      </c>
      <c r="H126" s="63">
        <f t="shared" si="140"/>
        <v>0</v>
      </c>
      <c r="I126" s="63">
        <f t="shared" si="140"/>
        <v>0</v>
      </c>
      <c r="J126" s="63">
        <f t="shared" si="140"/>
        <v>0</v>
      </c>
      <c r="K126" s="63">
        <f t="shared" si="140"/>
        <v>0</v>
      </c>
      <c r="L126" s="63">
        <f t="shared" si="140"/>
        <v>0</v>
      </c>
      <c r="M126" s="63">
        <f t="shared" si="140"/>
        <v>0</v>
      </c>
      <c r="N126" s="63">
        <f t="shared" si="140"/>
        <v>0</v>
      </c>
      <c r="O126" s="63">
        <f t="shared" si="140"/>
        <v>0</v>
      </c>
      <c r="P126" s="63">
        <f t="shared" si="140"/>
        <v>0</v>
      </c>
      <c r="Q126" s="63">
        <f t="shared" si="140"/>
        <v>0</v>
      </c>
      <c r="R126" s="63">
        <f t="shared" si="140"/>
        <v>0</v>
      </c>
      <c r="S126" s="63">
        <f t="shared" si="140"/>
        <v>0</v>
      </c>
      <c r="T126" s="63">
        <f t="shared" si="140"/>
        <v>0</v>
      </c>
      <c r="U126" s="63">
        <f t="shared" si="140"/>
        <v>0</v>
      </c>
      <c r="V126" s="63">
        <f t="shared" si="140"/>
        <v>0</v>
      </c>
      <c r="W126" s="63">
        <f t="shared" si="140"/>
        <v>0</v>
      </c>
      <c r="X126" s="63">
        <f t="shared" si="140"/>
        <v>0</v>
      </c>
      <c r="Y126" s="63">
        <f t="shared" si="140"/>
        <v>0</v>
      </c>
      <c r="Z126" s="63">
        <f t="shared" si="140"/>
        <v>0</v>
      </c>
      <c r="AB126" s="64">
        <f t="shared" si="77"/>
        <v>0</v>
      </c>
      <c r="AC126" s="63">
        <f t="shared" si="78"/>
        <v>0</v>
      </c>
      <c r="AD126" s="65">
        <f t="shared" si="79"/>
        <v>0</v>
      </c>
    </row>
    <row r="127" spans="1:30" x14ac:dyDescent="0.2">
      <c r="A127" s="248"/>
      <c r="B127" s="248">
        <f>ship2</f>
        <v>0</v>
      </c>
      <c r="C127" s="30" t="s">
        <v>17</v>
      </c>
      <c r="D127" s="56">
        <f t="shared" si="139"/>
        <v>0</v>
      </c>
      <c r="E127" s="56">
        <f t="shared" si="140"/>
        <v>0</v>
      </c>
      <c r="F127" s="56">
        <f t="shared" si="140"/>
        <v>0</v>
      </c>
      <c r="G127" s="56">
        <f t="shared" si="140"/>
        <v>0</v>
      </c>
      <c r="H127" s="56">
        <f t="shared" si="140"/>
        <v>0</v>
      </c>
      <c r="I127" s="56">
        <f t="shared" si="140"/>
        <v>0</v>
      </c>
      <c r="J127" s="56">
        <f t="shared" si="140"/>
        <v>0</v>
      </c>
      <c r="K127" s="56">
        <f t="shared" si="140"/>
        <v>0</v>
      </c>
      <c r="L127" s="56">
        <f t="shared" si="140"/>
        <v>0</v>
      </c>
      <c r="M127" s="56">
        <f t="shared" si="140"/>
        <v>0</v>
      </c>
      <c r="N127" s="56">
        <f t="shared" si="140"/>
        <v>0</v>
      </c>
      <c r="O127" s="56">
        <f t="shared" si="140"/>
        <v>0</v>
      </c>
      <c r="P127" s="56">
        <f t="shared" si="140"/>
        <v>0</v>
      </c>
      <c r="Q127" s="56">
        <f t="shared" si="140"/>
        <v>0</v>
      </c>
      <c r="R127" s="56">
        <f t="shared" si="140"/>
        <v>0</v>
      </c>
      <c r="S127" s="56">
        <f t="shared" si="140"/>
        <v>0</v>
      </c>
      <c r="T127" s="56">
        <f t="shared" si="140"/>
        <v>0</v>
      </c>
      <c r="U127" s="56">
        <f t="shared" si="140"/>
        <v>0</v>
      </c>
      <c r="V127" s="56">
        <f t="shared" si="140"/>
        <v>0</v>
      </c>
      <c r="W127" s="56">
        <f t="shared" si="140"/>
        <v>0</v>
      </c>
      <c r="X127" s="56">
        <f t="shared" si="140"/>
        <v>0</v>
      </c>
      <c r="Y127" s="56">
        <f t="shared" si="140"/>
        <v>0</v>
      </c>
      <c r="Z127" s="56">
        <f t="shared" si="140"/>
        <v>0</v>
      </c>
      <c r="AB127" s="66">
        <f t="shared" si="77"/>
        <v>0</v>
      </c>
      <c r="AC127" s="56">
        <f t="shared" si="78"/>
        <v>0</v>
      </c>
      <c r="AD127" s="67">
        <f t="shared" si="79"/>
        <v>0</v>
      </c>
    </row>
    <row r="128" spans="1:30" x14ac:dyDescent="0.2">
      <c r="A128" s="248"/>
      <c r="B128" s="248"/>
      <c r="C128" s="30" t="s">
        <v>18</v>
      </c>
      <c r="D128" s="60">
        <f t="shared" si="139"/>
        <v>0</v>
      </c>
      <c r="E128" s="60">
        <f t="shared" si="140"/>
        <v>0</v>
      </c>
      <c r="F128" s="60">
        <f t="shared" si="140"/>
        <v>0</v>
      </c>
      <c r="G128" s="60">
        <f t="shared" si="140"/>
        <v>0</v>
      </c>
      <c r="H128" s="60">
        <f t="shared" si="140"/>
        <v>0</v>
      </c>
      <c r="I128" s="60">
        <f t="shared" si="140"/>
        <v>0</v>
      </c>
      <c r="J128" s="60">
        <f t="shared" si="140"/>
        <v>0</v>
      </c>
      <c r="K128" s="60">
        <f t="shared" si="140"/>
        <v>0</v>
      </c>
      <c r="L128" s="60">
        <f t="shared" si="140"/>
        <v>0</v>
      </c>
      <c r="M128" s="60">
        <f t="shared" si="140"/>
        <v>0</v>
      </c>
      <c r="N128" s="60">
        <f t="shared" si="140"/>
        <v>0</v>
      </c>
      <c r="O128" s="60">
        <f t="shared" si="140"/>
        <v>0</v>
      </c>
      <c r="P128" s="60">
        <f t="shared" si="140"/>
        <v>0</v>
      </c>
      <c r="Q128" s="60">
        <f t="shared" si="140"/>
        <v>0</v>
      </c>
      <c r="R128" s="60">
        <f t="shared" si="140"/>
        <v>0</v>
      </c>
      <c r="S128" s="60">
        <f t="shared" si="140"/>
        <v>0</v>
      </c>
      <c r="T128" s="60">
        <f t="shared" si="140"/>
        <v>0</v>
      </c>
      <c r="U128" s="60">
        <f t="shared" si="140"/>
        <v>0</v>
      </c>
      <c r="V128" s="60">
        <f t="shared" si="140"/>
        <v>0</v>
      </c>
      <c r="W128" s="60">
        <f t="shared" si="140"/>
        <v>0</v>
      </c>
      <c r="X128" s="60">
        <f t="shared" si="140"/>
        <v>0</v>
      </c>
      <c r="Y128" s="60">
        <f t="shared" si="140"/>
        <v>0</v>
      </c>
      <c r="Z128" s="60">
        <f t="shared" si="140"/>
        <v>0</v>
      </c>
      <c r="AB128" s="61">
        <f t="shared" si="77"/>
        <v>0</v>
      </c>
      <c r="AC128" s="60">
        <f t="shared" si="78"/>
        <v>0</v>
      </c>
      <c r="AD128" s="62">
        <f t="shared" si="79"/>
        <v>0</v>
      </c>
    </row>
    <row r="129" spans="1:30" x14ac:dyDescent="0.2">
      <c r="A129" s="248"/>
      <c r="B129" s="248"/>
      <c r="C129" s="30" t="s">
        <v>19</v>
      </c>
      <c r="D129" s="63">
        <f t="shared" si="139"/>
        <v>0</v>
      </c>
      <c r="E129" s="63">
        <f t="shared" si="140"/>
        <v>0</v>
      </c>
      <c r="F129" s="63">
        <f t="shared" si="140"/>
        <v>0</v>
      </c>
      <c r="G129" s="63">
        <f t="shared" si="140"/>
        <v>0</v>
      </c>
      <c r="H129" s="63">
        <f t="shared" si="140"/>
        <v>0</v>
      </c>
      <c r="I129" s="63">
        <f t="shared" si="140"/>
        <v>0</v>
      </c>
      <c r="J129" s="63">
        <f t="shared" si="140"/>
        <v>0</v>
      </c>
      <c r="K129" s="63">
        <f t="shared" si="140"/>
        <v>0</v>
      </c>
      <c r="L129" s="63">
        <f t="shared" si="140"/>
        <v>0</v>
      </c>
      <c r="M129" s="63">
        <f t="shared" si="140"/>
        <v>0</v>
      </c>
      <c r="N129" s="63">
        <f t="shared" si="140"/>
        <v>0</v>
      </c>
      <c r="O129" s="63">
        <f t="shared" si="140"/>
        <v>0</v>
      </c>
      <c r="P129" s="63">
        <f t="shared" si="140"/>
        <v>0</v>
      </c>
      <c r="Q129" s="63">
        <f t="shared" si="140"/>
        <v>0</v>
      </c>
      <c r="R129" s="63">
        <f t="shared" si="140"/>
        <v>0</v>
      </c>
      <c r="S129" s="63">
        <f t="shared" si="140"/>
        <v>0</v>
      </c>
      <c r="T129" s="63">
        <f t="shared" si="140"/>
        <v>0</v>
      </c>
      <c r="U129" s="63">
        <f t="shared" si="140"/>
        <v>0</v>
      </c>
      <c r="V129" s="63">
        <f t="shared" si="140"/>
        <v>0</v>
      </c>
      <c r="W129" s="63">
        <f t="shared" si="140"/>
        <v>0</v>
      </c>
      <c r="X129" s="63">
        <f t="shared" si="140"/>
        <v>0</v>
      </c>
      <c r="Y129" s="63">
        <f t="shared" si="140"/>
        <v>0</v>
      </c>
      <c r="Z129" s="63">
        <f t="shared" si="140"/>
        <v>0</v>
      </c>
      <c r="AB129" s="64">
        <f t="shared" si="77"/>
        <v>0</v>
      </c>
      <c r="AC129" s="63">
        <f t="shared" si="78"/>
        <v>0</v>
      </c>
      <c r="AD129" s="65">
        <f t="shared" si="79"/>
        <v>0</v>
      </c>
    </row>
    <row r="130" spans="1:30" x14ac:dyDescent="0.2">
      <c r="A130" s="248"/>
      <c r="B130" s="248">
        <f>ship3</f>
        <v>0</v>
      </c>
      <c r="C130" s="30" t="s">
        <v>17</v>
      </c>
      <c r="D130" s="56">
        <f t="shared" si="139"/>
        <v>0</v>
      </c>
      <c r="E130" s="56">
        <f t="shared" si="140"/>
        <v>0</v>
      </c>
      <c r="F130" s="56">
        <f t="shared" si="140"/>
        <v>0</v>
      </c>
      <c r="G130" s="56">
        <f t="shared" si="140"/>
        <v>0</v>
      </c>
      <c r="H130" s="56">
        <f t="shared" si="140"/>
        <v>0</v>
      </c>
      <c r="I130" s="56">
        <f t="shared" si="140"/>
        <v>0</v>
      </c>
      <c r="J130" s="56">
        <f t="shared" si="140"/>
        <v>0</v>
      </c>
      <c r="K130" s="56">
        <f t="shared" si="140"/>
        <v>0</v>
      </c>
      <c r="L130" s="56">
        <f t="shared" si="140"/>
        <v>0</v>
      </c>
      <c r="M130" s="56">
        <f t="shared" si="140"/>
        <v>0</v>
      </c>
      <c r="N130" s="56">
        <f t="shared" si="140"/>
        <v>0</v>
      </c>
      <c r="O130" s="56">
        <f t="shared" si="140"/>
        <v>0</v>
      </c>
      <c r="P130" s="56">
        <f t="shared" si="140"/>
        <v>0</v>
      </c>
      <c r="Q130" s="56">
        <f t="shared" si="140"/>
        <v>0</v>
      </c>
      <c r="R130" s="56">
        <f t="shared" si="140"/>
        <v>0</v>
      </c>
      <c r="S130" s="56">
        <f t="shared" si="140"/>
        <v>0</v>
      </c>
      <c r="T130" s="56">
        <f t="shared" si="140"/>
        <v>0</v>
      </c>
      <c r="U130" s="56">
        <f t="shared" si="140"/>
        <v>0</v>
      </c>
      <c r="V130" s="56">
        <f t="shared" si="140"/>
        <v>0</v>
      </c>
      <c r="W130" s="56">
        <f t="shared" si="140"/>
        <v>0</v>
      </c>
      <c r="X130" s="56">
        <f t="shared" si="140"/>
        <v>0</v>
      </c>
      <c r="Y130" s="56">
        <f t="shared" si="140"/>
        <v>0</v>
      </c>
      <c r="Z130" s="56">
        <f t="shared" si="140"/>
        <v>0</v>
      </c>
      <c r="AB130" s="66">
        <f t="shared" si="77"/>
        <v>0</v>
      </c>
      <c r="AC130" s="56">
        <f t="shared" si="78"/>
        <v>0</v>
      </c>
      <c r="AD130" s="67">
        <f t="shared" si="79"/>
        <v>0</v>
      </c>
    </row>
    <row r="131" spans="1:30" x14ac:dyDescent="0.2">
      <c r="A131" s="248"/>
      <c r="B131" s="248"/>
      <c r="C131" s="30" t="s">
        <v>18</v>
      </c>
      <c r="D131" s="60">
        <f t="shared" si="139"/>
        <v>0</v>
      </c>
      <c r="E131" s="60">
        <f t="shared" si="140"/>
        <v>0</v>
      </c>
      <c r="F131" s="60">
        <f t="shared" si="140"/>
        <v>0</v>
      </c>
      <c r="G131" s="60">
        <f t="shared" si="140"/>
        <v>0</v>
      </c>
      <c r="H131" s="60">
        <f t="shared" si="140"/>
        <v>0</v>
      </c>
      <c r="I131" s="60">
        <f t="shared" si="140"/>
        <v>0</v>
      </c>
      <c r="J131" s="60">
        <f t="shared" si="140"/>
        <v>0</v>
      </c>
      <c r="K131" s="60">
        <f t="shared" si="140"/>
        <v>0</v>
      </c>
      <c r="L131" s="60">
        <f t="shared" si="140"/>
        <v>0</v>
      </c>
      <c r="M131" s="60">
        <f t="shared" si="140"/>
        <v>0</v>
      </c>
      <c r="N131" s="60">
        <f t="shared" si="140"/>
        <v>0</v>
      </c>
      <c r="O131" s="60">
        <f t="shared" si="140"/>
        <v>0</v>
      </c>
      <c r="P131" s="60">
        <f t="shared" si="140"/>
        <v>0</v>
      </c>
      <c r="Q131" s="60">
        <f t="shared" si="140"/>
        <v>0</v>
      </c>
      <c r="R131" s="60">
        <f t="shared" si="140"/>
        <v>0</v>
      </c>
      <c r="S131" s="60">
        <f t="shared" si="140"/>
        <v>0</v>
      </c>
      <c r="T131" s="60">
        <f t="shared" si="140"/>
        <v>0</v>
      </c>
      <c r="U131" s="60">
        <f t="shared" si="140"/>
        <v>0</v>
      </c>
      <c r="V131" s="60">
        <f t="shared" si="140"/>
        <v>0</v>
      </c>
      <c r="W131" s="60">
        <f t="shared" si="140"/>
        <v>0</v>
      </c>
      <c r="X131" s="60">
        <f t="shared" si="140"/>
        <v>0</v>
      </c>
      <c r="Y131" s="60">
        <f t="shared" si="140"/>
        <v>0</v>
      </c>
      <c r="Z131" s="60">
        <f t="shared" si="140"/>
        <v>0</v>
      </c>
      <c r="AB131" s="61">
        <f t="shared" si="77"/>
        <v>0</v>
      </c>
      <c r="AC131" s="60">
        <f t="shared" si="78"/>
        <v>0</v>
      </c>
      <c r="AD131" s="62">
        <f t="shared" si="79"/>
        <v>0</v>
      </c>
    </row>
    <row r="132" spans="1:30" x14ac:dyDescent="0.2">
      <c r="A132" s="248"/>
      <c r="B132" s="248"/>
      <c r="C132" s="30" t="s">
        <v>19</v>
      </c>
      <c r="D132" s="63">
        <f t="shared" si="139"/>
        <v>0</v>
      </c>
      <c r="E132" s="63">
        <f t="shared" si="140"/>
        <v>0</v>
      </c>
      <c r="F132" s="63">
        <f t="shared" si="140"/>
        <v>0</v>
      </c>
      <c r="G132" s="63">
        <f t="shared" si="140"/>
        <v>0</v>
      </c>
      <c r="H132" s="63">
        <f t="shared" si="140"/>
        <v>0</v>
      </c>
      <c r="I132" s="63">
        <f t="shared" si="140"/>
        <v>0</v>
      </c>
      <c r="J132" s="63">
        <f t="shared" si="140"/>
        <v>0</v>
      </c>
      <c r="K132" s="63">
        <f t="shared" si="140"/>
        <v>0</v>
      </c>
      <c r="L132" s="63">
        <f t="shared" si="140"/>
        <v>0</v>
      </c>
      <c r="M132" s="63">
        <f t="shared" si="140"/>
        <v>0</v>
      </c>
      <c r="N132" s="63">
        <f t="shared" si="140"/>
        <v>0</v>
      </c>
      <c r="O132" s="63">
        <f t="shared" si="140"/>
        <v>0</v>
      </c>
      <c r="P132" s="63">
        <f t="shared" si="140"/>
        <v>0</v>
      </c>
      <c r="Q132" s="63">
        <f t="shared" si="140"/>
        <v>0</v>
      </c>
      <c r="R132" s="63">
        <f t="shared" si="140"/>
        <v>0</v>
      </c>
      <c r="S132" s="63">
        <f t="shared" si="140"/>
        <v>0</v>
      </c>
      <c r="T132" s="63">
        <f t="shared" si="140"/>
        <v>0</v>
      </c>
      <c r="U132" s="63">
        <f t="shared" si="140"/>
        <v>0</v>
      </c>
      <c r="V132" s="63">
        <f t="shared" si="140"/>
        <v>0</v>
      </c>
      <c r="W132" s="63">
        <f t="shared" si="140"/>
        <v>0</v>
      </c>
      <c r="X132" s="63">
        <f t="shared" si="140"/>
        <v>0</v>
      </c>
      <c r="Y132" s="63">
        <f t="shared" si="140"/>
        <v>0</v>
      </c>
      <c r="Z132" s="63">
        <f t="shared" si="140"/>
        <v>0</v>
      </c>
      <c r="AB132" s="64">
        <f t="shared" si="77"/>
        <v>0</v>
      </c>
      <c r="AC132" s="63">
        <f t="shared" si="78"/>
        <v>0</v>
      </c>
      <c r="AD132" s="65">
        <f t="shared" si="79"/>
        <v>0</v>
      </c>
    </row>
    <row r="133" spans="1:30" x14ac:dyDescent="0.2">
      <c r="A133" s="248"/>
      <c r="B133" s="248">
        <f>ship4</f>
        <v>0</v>
      </c>
      <c r="C133" s="30" t="s">
        <v>17</v>
      </c>
      <c r="D133" s="56">
        <f t="shared" si="139"/>
        <v>0</v>
      </c>
      <c r="E133" s="56">
        <f t="shared" si="140"/>
        <v>0</v>
      </c>
      <c r="F133" s="56">
        <f t="shared" si="140"/>
        <v>0</v>
      </c>
      <c r="G133" s="56">
        <f t="shared" si="140"/>
        <v>0</v>
      </c>
      <c r="H133" s="56">
        <f t="shared" si="140"/>
        <v>0</v>
      </c>
      <c r="I133" s="56">
        <f t="shared" si="140"/>
        <v>0</v>
      </c>
      <c r="J133" s="56">
        <f t="shared" si="140"/>
        <v>0</v>
      </c>
      <c r="K133" s="56">
        <f t="shared" si="140"/>
        <v>0</v>
      </c>
      <c r="L133" s="56">
        <f t="shared" si="140"/>
        <v>0</v>
      </c>
      <c r="M133" s="56">
        <f t="shared" si="140"/>
        <v>0</v>
      </c>
      <c r="N133" s="56">
        <f t="shared" si="140"/>
        <v>0</v>
      </c>
      <c r="O133" s="56">
        <f t="shared" si="140"/>
        <v>0</v>
      </c>
      <c r="P133" s="56">
        <f t="shared" si="140"/>
        <v>0</v>
      </c>
      <c r="Q133" s="56">
        <f t="shared" si="140"/>
        <v>0</v>
      </c>
      <c r="R133" s="56">
        <f t="shared" si="140"/>
        <v>0</v>
      </c>
      <c r="S133" s="56">
        <f t="shared" si="140"/>
        <v>0</v>
      </c>
      <c r="T133" s="56">
        <f t="shared" si="140"/>
        <v>0</v>
      </c>
      <c r="U133" s="56">
        <f t="shared" si="140"/>
        <v>0</v>
      </c>
      <c r="V133" s="56">
        <f t="shared" si="140"/>
        <v>0</v>
      </c>
      <c r="W133" s="56">
        <f t="shared" si="140"/>
        <v>0</v>
      </c>
      <c r="X133" s="56">
        <f t="shared" si="140"/>
        <v>0</v>
      </c>
      <c r="Y133" s="56">
        <f t="shared" si="140"/>
        <v>0</v>
      </c>
      <c r="Z133" s="56">
        <f t="shared" si="140"/>
        <v>0</v>
      </c>
      <c r="AB133" s="66">
        <f t="shared" si="77"/>
        <v>0</v>
      </c>
      <c r="AC133" s="56">
        <f t="shared" si="78"/>
        <v>0</v>
      </c>
      <c r="AD133" s="67">
        <f t="shared" si="79"/>
        <v>0</v>
      </c>
    </row>
    <row r="134" spans="1:30" x14ac:dyDescent="0.2">
      <c r="A134" s="248"/>
      <c r="B134" s="248"/>
      <c r="C134" s="30" t="s">
        <v>18</v>
      </c>
      <c r="D134" s="60">
        <f t="shared" si="139"/>
        <v>0</v>
      </c>
      <c r="E134" s="60">
        <f t="shared" si="140"/>
        <v>0</v>
      </c>
      <c r="F134" s="60">
        <f t="shared" si="140"/>
        <v>0</v>
      </c>
      <c r="G134" s="60">
        <f t="shared" si="140"/>
        <v>0</v>
      </c>
      <c r="H134" s="60">
        <f t="shared" si="140"/>
        <v>0</v>
      </c>
      <c r="I134" s="60">
        <f t="shared" si="140"/>
        <v>0</v>
      </c>
      <c r="J134" s="60">
        <f t="shared" si="140"/>
        <v>0</v>
      </c>
      <c r="K134" s="60">
        <f t="shared" si="140"/>
        <v>0</v>
      </c>
      <c r="L134" s="60">
        <f t="shared" si="140"/>
        <v>0</v>
      </c>
      <c r="M134" s="60">
        <f t="shared" si="140"/>
        <v>0</v>
      </c>
      <c r="N134" s="60">
        <f t="shared" si="140"/>
        <v>0</v>
      </c>
      <c r="O134" s="60">
        <f t="shared" si="140"/>
        <v>0</v>
      </c>
      <c r="P134" s="60">
        <f t="shared" si="140"/>
        <v>0</v>
      </c>
      <c r="Q134" s="60">
        <f t="shared" si="140"/>
        <v>0</v>
      </c>
      <c r="R134" s="60">
        <f t="shared" si="140"/>
        <v>0</v>
      </c>
      <c r="S134" s="60">
        <f t="shared" si="140"/>
        <v>0</v>
      </c>
      <c r="T134" s="60">
        <f t="shared" si="140"/>
        <v>0</v>
      </c>
      <c r="U134" s="60">
        <f t="shared" si="140"/>
        <v>0</v>
      </c>
      <c r="V134" s="60">
        <f t="shared" si="140"/>
        <v>0</v>
      </c>
      <c r="W134" s="60">
        <f t="shared" si="140"/>
        <v>0</v>
      </c>
      <c r="X134" s="60">
        <f t="shared" si="140"/>
        <v>0</v>
      </c>
      <c r="Y134" s="60">
        <f t="shared" si="140"/>
        <v>0</v>
      </c>
      <c r="Z134" s="60">
        <f t="shared" si="140"/>
        <v>0</v>
      </c>
      <c r="AB134" s="61">
        <f t="shared" si="77"/>
        <v>0</v>
      </c>
      <c r="AC134" s="60">
        <f t="shared" si="78"/>
        <v>0</v>
      </c>
      <c r="AD134" s="62">
        <f t="shared" si="79"/>
        <v>0</v>
      </c>
    </row>
    <row r="135" spans="1:30" x14ac:dyDescent="0.2">
      <c r="A135" s="248"/>
      <c r="B135" s="248"/>
      <c r="C135" s="30" t="s">
        <v>19</v>
      </c>
      <c r="D135" s="63">
        <f t="shared" si="139"/>
        <v>0</v>
      </c>
      <c r="E135" s="63">
        <f t="shared" si="140"/>
        <v>0</v>
      </c>
      <c r="F135" s="63">
        <f t="shared" si="140"/>
        <v>0</v>
      </c>
      <c r="G135" s="63">
        <f t="shared" si="140"/>
        <v>0</v>
      </c>
      <c r="H135" s="63">
        <f t="shared" si="140"/>
        <v>0</v>
      </c>
      <c r="I135" s="63">
        <f t="shared" si="140"/>
        <v>0</v>
      </c>
      <c r="J135" s="63">
        <f t="shared" si="140"/>
        <v>0</v>
      </c>
      <c r="K135" s="63">
        <f t="shared" si="140"/>
        <v>0</v>
      </c>
      <c r="L135" s="63">
        <f t="shared" si="140"/>
        <v>0</v>
      </c>
      <c r="M135" s="63">
        <f t="shared" si="140"/>
        <v>0</v>
      </c>
      <c r="N135" s="63">
        <f t="shared" si="140"/>
        <v>0</v>
      </c>
      <c r="O135" s="63">
        <f t="shared" si="140"/>
        <v>0</v>
      </c>
      <c r="P135" s="63">
        <f t="shared" si="140"/>
        <v>0</v>
      </c>
      <c r="Q135" s="63">
        <f t="shared" si="140"/>
        <v>0</v>
      </c>
      <c r="R135" s="63">
        <f t="shared" si="140"/>
        <v>0</v>
      </c>
      <c r="S135" s="63">
        <f t="shared" si="140"/>
        <v>0</v>
      </c>
      <c r="T135" s="63">
        <f t="shared" si="140"/>
        <v>0</v>
      </c>
      <c r="U135" s="63">
        <f t="shared" ref="E135:Z141" si="142">U99+U117</f>
        <v>0</v>
      </c>
      <c r="V135" s="63">
        <f t="shared" si="142"/>
        <v>0</v>
      </c>
      <c r="W135" s="63">
        <f t="shared" si="142"/>
        <v>0</v>
      </c>
      <c r="X135" s="63">
        <f t="shared" si="142"/>
        <v>0</v>
      </c>
      <c r="Y135" s="63">
        <f t="shared" si="142"/>
        <v>0</v>
      </c>
      <c r="Z135" s="63">
        <f t="shared" si="142"/>
        <v>0</v>
      </c>
      <c r="AB135" s="64">
        <f t="shared" si="77"/>
        <v>0</v>
      </c>
      <c r="AC135" s="63">
        <f t="shared" si="78"/>
        <v>0</v>
      </c>
      <c r="AD135" s="65">
        <f t="shared" si="79"/>
        <v>0</v>
      </c>
    </row>
    <row r="136" spans="1:30" x14ac:dyDescent="0.2">
      <c r="A136" s="248"/>
      <c r="B136" s="248">
        <f>ship5</f>
        <v>0</v>
      </c>
      <c r="C136" s="30" t="s">
        <v>17</v>
      </c>
      <c r="D136" s="56">
        <f t="shared" si="139"/>
        <v>0</v>
      </c>
      <c r="E136" s="56">
        <f t="shared" si="142"/>
        <v>0</v>
      </c>
      <c r="F136" s="56">
        <f t="shared" si="142"/>
        <v>0</v>
      </c>
      <c r="G136" s="56">
        <f t="shared" si="142"/>
        <v>0</v>
      </c>
      <c r="H136" s="56">
        <f t="shared" si="142"/>
        <v>0</v>
      </c>
      <c r="I136" s="56">
        <f t="shared" si="142"/>
        <v>0</v>
      </c>
      <c r="J136" s="56">
        <f t="shared" si="142"/>
        <v>0</v>
      </c>
      <c r="K136" s="56">
        <f t="shared" si="142"/>
        <v>0</v>
      </c>
      <c r="L136" s="56">
        <f t="shared" si="142"/>
        <v>0</v>
      </c>
      <c r="M136" s="56">
        <f t="shared" si="142"/>
        <v>0</v>
      </c>
      <c r="N136" s="56">
        <f t="shared" si="142"/>
        <v>0</v>
      </c>
      <c r="O136" s="56">
        <f t="shared" si="142"/>
        <v>0</v>
      </c>
      <c r="P136" s="56">
        <f t="shared" si="142"/>
        <v>0</v>
      </c>
      <c r="Q136" s="56">
        <f t="shared" si="142"/>
        <v>0</v>
      </c>
      <c r="R136" s="56">
        <f t="shared" si="142"/>
        <v>0</v>
      </c>
      <c r="S136" s="56">
        <f t="shared" si="142"/>
        <v>0</v>
      </c>
      <c r="T136" s="56">
        <f t="shared" si="142"/>
        <v>0</v>
      </c>
      <c r="U136" s="56">
        <f t="shared" si="142"/>
        <v>0</v>
      </c>
      <c r="V136" s="56">
        <f t="shared" si="142"/>
        <v>0</v>
      </c>
      <c r="W136" s="56">
        <f t="shared" si="142"/>
        <v>0</v>
      </c>
      <c r="X136" s="56">
        <f t="shared" si="142"/>
        <v>0</v>
      </c>
      <c r="Y136" s="56">
        <f t="shared" si="142"/>
        <v>0</v>
      </c>
      <c r="Z136" s="56">
        <f t="shared" si="142"/>
        <v>0</v>
      </c>
      <c r="AB136" s="66">
        <f t="shared" si="77"/>
        <v>0</v>
      </c>
      <c r="AC136" s="56">
        <f t="shared" si="78"/>
        <v>0</v>
      </c>
      <c r="AD136" s="67">
        <f t="shared" si="79"/>
        <v>0</v>
      </c>
    </row>
    <row r="137" spans="1:30" x14ac:dyDescent="0.2">
      <c r="A137" s="248"/>
      <c r="B137" s="248"/>
      <c r="C137" s="30" t="s">
        <v>18</v>
      </c>
      <c r="D137" s="60">
        <f t="shared" si="139"/>
        <v>0</v>
      </c>
      <c r="E137" s="60">
        <f t="shared" si="142"/>
        <v>0</v>
      </c>
      <c r="F137" s="60">
        <f t="shared" si="142"/>
        <v>0</v>
      </c>
      <c r="G137" s="60">
        <f t="shared" si="142"/>
        <v>0</v>
      </c>
      <c r="H137" s="60">
        <f t="shared" si="142"/>
        <v>0</v>
      </c>
      <c r="I137" s="60">
        <f t="shared" si="142"/>
        <v>0</v>
      </c>
      <c r="J137" s="60">
        <f t="shared" si="142"/>
        <v>0</v>
      </c>
      <c r="K137" s="60">
        <f t="shared" si="142"/>
        <v>0</v>
      </c>
      <c r="L137" s="60">
        <f t="shared" si="142"/>
        <v>0</v>
      </c>
      <c r="M137" s="60">
        <f t="shared" si="142"/>
        <v>0</v>
      </c>
      <c r="N137" s="60">
        <f t="shared" si="142"/>
        <v>0</v>
      </c>
      <c r="O137" s="60">
        <f t="shared" si="142"/>
        <v>0</v>
      </c>
      <c r="P137" s="60">
        <f t="shared" si="142"/>
        <v>0</v>
      </c>
      <c r="Q137" s="60">
        <f t="shared" si="142"/>
        <v>0</v>
      </c>
      <c r="R137" s="60">
        <f t="shared" si="142"/>
        <v>0</v>
      </c>
      <c r="S137" s="60">
        <f t="shared" si="142"/>
        <v>0</v>
      </c>
      <c r="T137" s="60">
        <f t="shared" si="142"/>
        <v>0</v>
      </c>
      <c r="U137" s="60">
        <f t="shared" si="142"/>
        <v>0</v>
      </c>
      <c r="V137" s="60">
        <f t="shared" si="142"/>
        <v>0</v>
      </c>
      <c r="W137" s="60">
        <f t="shared" si="142"/>
        <v>0</v>
      </c>
      <c r="X137" s="60">
        <f t="shared" si="142"/>
        <v>0</v>
      </c>
      <c r="Y137" s="60">
        <f t="shared" si="142"/>
        <v>0</v>
      </c>
      <c r="Z137" s="60">
        <f t="shared" si="142"/>
        <v>0</v>
      </c>
      <c r="AB137" s="61">
        <f t="shared" si="77"/>
        <v>0</v>
      </c>
      <c r="AC137" s="60">
        <f t="shared" si="78"/>
        <v>0</v>
      </c>
      <c r="AD137" s="62">
        <f t="shared" si="79"/>
        <v>0</v>
      </c>
    </row>
    <row r="138" spans="1:30" x14ac:dyDescent="0.2">
      <c r="A138" s="248"/>
      <c r="B138" s="248"/>
      <c r="C138" s="30" t="s">
        <v>19</v>
      </c>
      <c r="D138" s="63">
        <f t="shared" si="139"/>
        <v>0</v>
      </c>
      <c r="E138" s="63">
        <f t="shared" si="142"/>
        <v>0</v>
      </c>
      <c r="F138" s="63">
        <f t="shared" si="142"/>
        <v>0</v>
      </c>
      <c r="G138" s="63">
        <f t="shared" si="142"/>
        <v>0</v>
      </c>
      <c r="H138" s="63">
        <f t="shared" si="142"/>
        <v>0</v>
      </c>
      <c r="I138" s="63">
        <f t="shared" si="142"/>
        <v>0</v>
      </c>
      <c r="J138" s="63">
        <f t="shared" si="142"/>
        <v>0</v>
      </c>
      <c r="K138" s="63">
        <f t="shared" si="142"/>
        <v>0</v>
      </c>
      <c r="L138" s="63">
        <f t="shared" si="142"/>
        <v>0</v>
      </c>
      <c r="M138" s="63">
        <f t="shared" si="142"/>
        <v>0</v>
      </c>
      <c r="N138" s="63">
        <f t="shared" si="142"/>
        <v>0</v>
      </c>
      <c r="O138" s="63">
        <f t="shared" si="142"/>
        <v>0</v>
      </c>
      <c r="P138" s="63">
        <f t="shared" si="142"/>
        <v>0</v>
      </c>
      <c r="Q138" s="63">
        <f t="shared" si="142"/>
        <v>0</v>
      </c>
      <c r="R138" s="63">
        <f t="shared" si="142"/>
        <v>0</v>
      </c>
      <c r="S138" s="63">
        <f t="shared" si="142"/>
        <v>0</v>
      </c>
      <c r="T138" s="63">
        <f t="shared" si="142"/>
        <v>0</v>
      </c>
      <c r="U138" s="63">
        <f t="shared" si="142"/>
        <v>0</v>
      </c>
      <c r="V138" s="63">
        <f t="shared" si="142"/>
        <v>0</v>
      </c>
      <c r="W138" s="63">
        <f t="shared" si="142"/>
        <v>0</v>
      </c>
      <c r="X138" s="63">
        <f t="shared" si="142"/>
        <v>0</v>
      </c>
      <c r="Y138" s="63">
        <f t="shared" si="142"/>
        <v>0</v>
      </c>
      <c r="Z138" s="63">
        <f t="shared" si="142"/>
        <v>0</v>
      </c>
      <c r="AB138" s="64">
        <f t="shared" si="77"/>
        <v>0</v>
      </c>
      <c r="AC138" s="63">
        <f t="shared" si="78"/>
        <v>0</v>
      </c>
      <c r="AD138" s="65">
        <f t="shared" si="79"/>
        <v>0</v>
      </c>
    </row>
    <row r="139" spans="1:30" x14ac:dyDescent="0.2">
      <c r="A139" s="248"/>
      <c r="B139" s="248">
        <f>ship6</f>
        <v>0</v>
      </c>
      <c r="C139" s="30" t="s">
        <v>17</v>
      </c>
      <c r="D139" s="56">
        <f t="shared" si="139"/>
        <v>0</v>
      </c>
      <c r="E139" s="56">
        <f t="shared" si="142"/>
        <v>0</v>
      </c>
      <c r="F139" s="56">
        <f t="shared" si="142"/>
        <v>0</v>
      </c>
      <c r="G139" s="56">
        <f t="shared" si="142"/>
        <v>0</v>
      </c>
      <c r="H139" s="56">
        <f t="shared" si="142"/>
        <v>0</v>
      </c>
      <c r="I139" s="56">
        <f t="shared" si="142"/>
        <v>0</v>
      </c>
      <c r="J139" s="56">
        <f t="shared" si="142"/>
        <v>0</v>
      </c>
      <c r="K139" s="56">
        <f t="shared" si="142"/>
        <v>0</v>
      </c>
      <c r="L139" s="56">
        <f t="shared" si="142"/>
        <v>0</v>
      </c>
      <c r="M139" s="56">
        <f t="shared" si="142"/>
        <v>0</v>
      </c>
      <c r="N139" s="56">
        <f t="shared" si="142"/>
        <v>0</v>
      </c>
      <c r="O139" s="56">
        <f t="shared" si="142"/>
        <v>0</v>
      </c>
      <c r="P139" s="56">
        <f t="shared" si="142"/>
        <v>0</v>
      </c>
      <c r="Q139" s="56">
        <f t="shared" si="142"/>
        <v>0</v>
      </c>
      <c r="R139" s="56">
        <f t="shared" si="142"/>
        <v>0</v>
      </c>
      <c r="S139" s="56">
        <f t="shared" si="142"/>
        <v>0</v>
      </c>
      <c r="T139" s="56">
        <f t="shared" si="142"/>
        <v>0</v>
      </c>
      <c r="U139" s="56">
        <f t="shared" si="142"/>
        <v>0</v>
      </c>
      <c r="V139" s="56">
        <f t="shared" si="142"/>
        <v>0</v>
      </c>
      <c r="W139" s="56">
        <f t="shared" si="142"/>
        <v>0</v>
      </c>
      <c r="X139" s="56">
        <f t="shared" si="142"/>
        <v>0</v>
      </c>
      <c r="Y139" s="56">
        <f t="shared" si="142"/>
        <v>0</v>
      </c>
      <c r="Z139" s="56">
        <f t="shared" si="142"/>
        <v>0</v>
      </c>
      <c r="AB139" s="66">
        <f t="shared" si="77"/>
        <v>0</v>
      </c>
      <c r="AC139" s="56">
        <f t="shared" si="78"/>
        <v>0</v>
      </c>
      <c r="AD139" s="67">
        <f t="shared" si="79"/>
        <v>0</v>
      </c>
    </row>
    <row r="140" spans="1:30" x14ac:dyDescent="0.2">
      <c r="A140" s="248"/>
      <c r="B140" s="248"/>
      <c r="C140" s="30" t="s">
        <v>18</v>
      </c>
      <c r="D140" s="60">
        <f t="shared" si="139"/>
        <v>0</v>
      </c>
      <c r="E140" s="60">
        <f t="shared" si="142"/>
        <v>0</v>
      </c>
      <c r="F140" s="60">
        <f t="shared" si="142"/>
        <v>0</v>
      </c>
      <c r="G140" s="60">
        <f t="shared" si="142"/>
        <v>0</v>
      </c>
      <c r="H140" s="60">
        <f t="shared" si="142"/>
        <v>0</v>
      </c>
      <c r="I140" s="60">
        <f t="shared" si="142"/>
        <v>0</v>
      </c>
      <c r="J140" s="60">
        <f t="shared" si="142"/>
        <v>0</v>
      </c>
      <c r="K140" s="60">
        <f t="shared" si="142"/>
        <v>0</v>
      </c>
      <c r="L140" s="60">
        <f t="shared" si="142"/>
        <v>0</v>
      </c>
      <c r="M140" s="60">
        <f t="shared" si="142"/>
        <v>0</v>
      </c>
      <c r="N140" s="60">
        <f t="shared" si="142"/>
        <v>0</v>
      </c>
      <c r="O140" s="60">
        <f t="shared" si="142"/>
        <v>0</v>
      </c>
      <c r="P140" s="60">
        <f t="shared" si="142"/>
        <v>0</v>
      </c>
      <c r="Q140" s="60">
        <f t="shared" si="142"/>
        <v>0</v>
      </c>
      <c r="R140" s="60">
        <f t="shared" si="142"/>
        <v>0</v>
      </c>
      <c r="S140" s="60">
        <f t="shared" si="142"/>
        <v>0</v>
      </c>
      <c r="T140" s="60">
        <f t="shared" si="142"/>
        <v>0</v>
      </c>
      <c r="U140" s="60">
        <f t="shared" si="142"/>
        <v>0</v>
      </c>
      <c r="V140" s="60">
        <f t="shared" si="142"/>
        <v>0</v>
      </c>
      <c r="W140" s="60">
        <f t="shared" si="142"/>
        <v>0</v>
      </c>
      <c r="X140" s="60">
        <f t="shared" si="142"/>
        <v>0</v>
      </c>
      <c r="Y140" s="60">
        <f t="shared" si="142"/>
        <v>0</v>
      </c>
      <c r="Z140" s="60">
        <f t="shared" si="142"/>
        <v>0</v>
      </c>
      <c r="AB140" s="61">
        <f t="shared" si="77"/>
        <v>0</v>
      </c>
      <c r="AC140" s="60">
        <f t="shared" si="78"/>
        <v>0</v>
      </c>
      <c r="AD140" s="62">
        <f t="shared" si="79"/>
        <v>0</v>
      </c>
    </row>
    <row r="141" spans="1:30" x14ac:dyDescent="0.2">
      <c r="A141" s="248"/>
      <c r="B141" s="248"/>
      <c r="C141" s="30" t="s">
        <v>19</v>
      </c>
      <c r="D141" s="63">
        <f t="shared" si="139"/>
        <v>0</v>
      </c>
      <c r="E141" s="63">
        <f t="shared" si="142"/>
        <v>0</v>
      </c>
      <c r="F141" s="63">
        <f t="shared" si="142"/>
        <v>0</v>
      </c>
      <c r="G141" s="63">
        <f t="shared" si="142"/>
        <v>0</v>
      </c>
      <c r="H141" s="63">
        <f t="shared" si="142"/>
        <v>0</v>
      </c>
      <c r="I141" s="63">
        <f t="shared" si="142"/>
        <v>0</v>
      </c>
      <c r="J141" s="63">
        <f t="shared" si="142"/>
        <v>0</v>
      </c>
      <c r="K141" s="63">
        <f t="shared" si="142"/>
        <v>0</v>
      </c>
      <c r="L141" s="63">
        <f t="shared" si="142"/>
        <v>0</v>
      </c>
      <c r="M141" s="63">
        <f t="shared" si="142"/>
        <v>0</v>
      </c>
      <c r="N141" s="63">
        <f t="shared" si="142"/>
        <v>0</v>
      </c>
      <c r="O141" s="63">
        <f t="shared" si="142"/>
        <v>0</v>
      </c>
      <c r="P141" s="63">
        <f t="shared" si="142"/>
        <v>0</v>
      </c>
      <c r="Q141" s="63">
        <f t="shared" si="142"/>
        <v>0</v>
      </c>
      <c r="R141" s="63">
        <f t="shared" si="142"/>
        <v>0</v>
      </c>
      <c r="S141" s="63">
        <f t="shared" si="142"/>
        <v>0</v>
      </c>
      <c r="T141" s="63">
        <f t="shared" si="142"/>
        <v>0</v>
      </c>
      <c r="U141" s="63">
        <f t="shared" si="142"/>
        <v>0</v>
      </c>
      <c r="V141" s="63">
        <f t="shared" si="142"/>
        <v>0</v>
      </c>
      <c r="W141" s="63">
        <f t="shared" si="142"/>
        <v>0</v>
      </c>
      <c r="X141" s="63">
        <f t="shared" si="142"/>
        <v>0</v>
      </c>
      <c r="Y141" s="63">
        <f t="shared" si="142"/>
        <v>0</v>
      </c>
      <c r="Z141" s="63">
        <f t="shared" si="142"/>
        <v>0</v>
      </c>
      <c r="AB141" s="73">
        <f t="shared" si="77"/>
        <v>0</v>
      </c>
      <c r="AC141" s="74">
        <f t="shared" si="78"/>
        <v>0</v>
      </c>
      <c r="AD141" s="75">
        <f t="shared" si="79"/>
        <v>0</v>
      </c>
    </row>
    <row r="142" spans="1:30" ht="12.75" customHeight="1" x14ac:dyDescent="0.2">
      <c r="A142" s="248" t="s">
        <v>33</v>
      </c>
      <c r="B142" s="248">
        <f>ship_plot</f>
        <v>0</v>
      </c>
      <c r="C142" s="30" t="s">
        <v>17</v>
      </c>
      <c r="D142" s="56">
        <f t="shared" ref="D142:Z142" si="143">IF(ship_plot=ship1,D124,IF(ship_plot=ship2,D127,IF(ship_plot=ship3,D130,IF(ship_plot=ship4,D133,IF(ship_plot=ship5,D136,IF(ship_plot=ship6,D139,"error"))))))</f>
        <v>0</v>
      </c>
      <c r="E142" s="56">
        <f t="shared" si="143"/>
        <v>0</v>
      </c>
      <c r="F142" s="56">
        <f t="shared" si="143"/>
        <v>0</v>
      </c>
      <c r="G142" s="56">
        <f t="shared" si="143"/>
        <v>0</v>
      </c>
      <c r="H142" s="56">
        <f t="shared" si="143"/>
        <v>0</v>
      </c>
      <c r="I142" s="56">
        <f t="shared" si="143"/>
        <v>0</v>
      </c>
      <c r="J142" s="56">
        <f t="shared" si="143"/>
        <v>0</v>
      </c>
      <c r="K142" s="56">
        <f t="shared" si="143"/>
        <v>0</v>
      </c>
      <c r="L142" s="56">
        <f t="shared" si="143"/>
        <v>0</v>
      </c>
      <c r="M142" s="56">
        <f t="shared" si="143"/>
        <v>0</v>
      </c>
      <c r="N142" s="56">
        <f t="shared" si="143"/>
        <v>0</v>
      </c>
      <c r="O142" s="56">
        <f t="shared" si="143"/>
        <v>0</v>
      </c>
      <c r="P142" s="56">
        <f t="shared" si="143"/>
        <v>0</v>
      </c>
      <c r="Q142" s="56">
        <f t="shared" si="143"/>
        <v>0</v>
      </c>
      <c r="R142" s="56">
        <f t="shared" si="143"/>
        <v>0</v>
      </c>
      <c r="S142" s="56">
        <f t="shared" si="143"/>
        <v>0</v>
      </c>
      <c r="T142" s="56">
        <f t="shared" si="143"/>
        <v>0</v>
      </c>
      <c r="U142" s="56">
        <f t="shared" si="143"/>
        <v>0</v>
      </c>
      <c r="V142" s="56">
        <f t="shared" si="143"/>
        <v>0</v>
      </c>
      <c r="W142" s="56">
        <f t="shared" si="143"/>
        <v>0</v>
      </c>
      <c r="X142" s="56">
        <f t="shared" si="143"/>
        <v>0</v>
      </c>
      <c r="Y142" s="56">
        <f t="shared" si="143"/>
        <v>0</v>
      </c>
      <c r="Z142" s="56">
        <f t="shared" si="143"/>
        <v>0</v>
      </c>
      <c r="AB142" s="66">
        <f>AVERAGE(D142:E142)</f>
        <v>0</v>
      </c>
      <c r="AC142" s="56">
        <f>AVERAGE(F142:J142)</f>
        <v>0</v>
      </c>
      <c r="AD142" s="67">
        <f>AVERAGE(K142:Z142)</f>
        <v>0</v>
      </c>
    </row>
    <row r="143" spans="1:30" x14ac:dyDescent="0.2">
      <c r="A143" s="248"/>
      <c r="B143" s="248"/>
      <c r="C143" s="30" t="s">
        <v>18</v>
      </c>
      <c r="D143" s="60">
        <f t="shared" ref="D143:Z143" si="144">IF(ship_plot=ship1,D125,IF(ship_plot=ship2,D128,IF(ship_plot=ship3,D131,IF(ship_plot=ship4,D134,IF(ship_plot=ship5,D137,IF(ship_plot=ship6,D140,"error"))))))</f>
        <v>0</v>
      </c>
      <c r="E143" s="60">
        <f t="shared" si="144"/>
        <v>0</v>
      </c>
      <c r="F143" s="60">
        <f t="shared" si="144"/>
        <v>0</v>
      </c>
      <c r="G143" s="60">
        <f t="shared" si="144"/>
        <v>0</v>
      </c>
      <c r="H143" s="60">
        <f t="shared" si="144"/>
        <v>0</v>
      </c>
      <c r="I143" s="60">
        <f t="shared" si="144"/>
        <v>0</v>
      </c>
      <c r="J143" s="60">
        <f t="shared" si="144"/>
        <v>0</v>
      </c>
      <c r="K143" s="60">
        <f t="shared" si="144"/>
        <v>0</v>
      </c>
      <c r="L143" s="60">
        <f t="shared" si="144"/>
        <v>0</v>
      </c>
      <c r="M143" s="60">
        <f t="shared" si="144"/>
        <v>0</v>
      </c>
      <c r="N143" s="60">
        <f t="shared" si="144"/>
        <v>0</v>
      </c>
      <c r="O143" s="60">
        <f t="shared" si="144"/>
        <v>0</v>
      </c>
      <c r="P143" s="60">
        <f t="shared" si="144"/>
        <v>0</v>
      </c>
      <c r="Q143" s="60">
        <f t="shared" si="144"/>
        <v>0</v>
      </c>
      <c r="R143" s="60">
        <f t="shared" si="144"/>
        <v>0</v>
      </c>
      <c r="S143" s="60">
        <f t="shared" si="144"/>
        <v>0</v>
      </c>
      <c r="T143" s="60">
        <f t="shared" si="144"/>
        <v>0</v>
      </c>
      <c r="U143" s="60">
        <f t="shared" si="144"/>
        <v>0</v>
      </c>
      <c r="V143" s="60">
        <f t="shared" si="144"/>
        <v>0</v>
      </c>
      <c r="W143" s="60">
        <f t="shared" si="144"/>
        <v>0</v>
      </c>
      <c r="X143" s="60">
        <f t="shared" si="144"/>
        <v>0</v>
      </c>
      <c r="Y143" s="60">
        <f t="shared" si="144"/>
        <v>0</v>
      </c>
      <c r="Z143" s="60">
        <f t="shared" si="144"/>
        <v>0</v>
      </c>
      <c r="AB143" s="61">
        <f>AVERAGE(D143:E143)</f>
        <v>0</v>
      </c>
      <c r="AC143" s="60">
        <f>AVERAGE(F143:J143)</f>
        <v>0</v>
      </c>
      <c r="AD143" s="62">
        <f>AVERAGE(K143:Z143)</f>
        <v>0</v>
      </c>
    </row>
    <row r="144" spans="1:30" x14ac:dyDescent="0.2">
      <c r="A144" s="248"/>
      <c r="B144" s="248"/>
      <c r="C144" s="30" t="s">
        <v>19</v>
      </c>
      <c r="D144" s="63">
        <f t="shared" ref="D144:Z144" si="145">IF(ship_plot=ship1,D126,IF(ship_plot=ship2,D129,IF(ship_plot=ship3,D132,IF(ship_plot=ship4,D135,IF(ship_plot=ship5,D138,IF(ship_plot=ship6,D141,"error"))))))</f>
        <v>0</v>
      </c>
      <c r="E144" s="63">
        <f t="shared" si="145"/>
        <v>0</v>
      </c>
      <c r="F144" s="63">
        <f t="shared" si="145"/>
        <v>0</v>
      </c>
      <c r="G144" s="63">
        <f t="shared" si="145"/>
        <v>0</v>
      </c>
      <c r="H144" s="63">
        <f t="shared" si="145"/>
        <v>0</v>
      </c>
      <c r="I144" s="63">
        <f t="shared" si="145"/>
        <v>0</v>
      </c>
      <c r="J144" s="63">
        <f t="shared" si="145"/>
        <v>0</v>
      </c>
      <c r="K144" s="63">
        <f t="shared" si="145"/>
        <v>0</v>
      </c>
      <c r="L144" s="63">
        <f t="shared" si="145"/>
        <v>0</v>
      </c>
      <c r="M144" s="63">
        <f t="shared" si="145"/>
        <v>0</v>
      </c>
      <c r="N144" s="63">
        <f t="shared" si="145"/>
        <v>0</v>
      </c>
      <c r="O144" s="63">
        <f t="shared" si="145"/>
        <v>0</v>
      </c>
      <c r="P144" s="63">
        <f t="shared" si="145"/>
        <v>0</v>
      </c>
      <c r="Q144" s="63">
        <f t="shared" si="145"/>
        <v>0</v>
      </c>
      <c r="R144" s="63">
        <f t="shared" si="145"/>
        <v>0</v>
      </c>
      <c r="S144" s="63">
        <f t="shared" si="145"/>
        <v>0</v>
      </c>
      <c r="T144" s="63">
        <f t="shared" si="145"/>
        <v>0</v>
      </c>
      <c r="U144" s="63">
        <f t="shared" si="145"/>
        <v>0</v>
      </c>
      <c r="V144" s="63">
        <f t="shared" si="145"/>
        <v>0</v>
      </c>
      <c r="W144" s="63">
        <f t="shared" si="145"/>
        <v>0</v>
      </c>
      <c r="X144" s="63">
        <f t="shared" si="145"/>
        <v>0</v>
      </c>
      <c r="Y144" s="63">
        <f t="shared" si="145"/>
        <v>0</v>
      </c>
      <c r="Z144" s="63">
        <f t="shared" si="145"/>
        <v>0</v>
      </c>
      <c r="AB144" s="73">
        <f>AVERAGE(D144:E144)</f>
        <v>0</v>
      </c>
      <c r="AC144" s="74">
        <f>AVERAGE(F144:J144)</f>
        <v>0</v>
      </c>
      <c r="AD144" s="75">
        <f>AVERAGE(K144:Z144)</f>
        <v>0</v>
      </c>
    </row>
    <row r="145" spans="1:30" ht="12.75" customHeight="1" thickBot="1" x14ac:dyDescent="0.25">
      <c r="A145" s="76" t="s">
        <v>50</v>
      </c>
      <c r="B145" s="76">
        <f>ship_plot</f>
        <v>0</v>
      </c>
      <c r="C145" s="77">
        <f>scenario_display</f>
        <v>0</v>
      </c>
      <c r="D145" s="78">
        <f t="shared" ref="D145:Z145" si="146">IF(scenario_display="Low",D142,IF(scenario_display="Medium",D143,D144))</f>
        <v>0</v>
      </c>
      <c r="E145" s="78">
        <f t="shared" si="146"/>
        <v>0</v>
      </c>
      <c r="F145" s="78">
        <f t="shared" si="146"/>
        <v>0</v>
      </c>
      <c r="G145" s="78">
        <f t="shared" si="146"/>
        <v>0</v>
      </c>
      <c r="H145" s="78">
        <f t="shared" si="146"/>
        <v>0</v>
      </c>
      <c r="I145" s="78">
        <f t="shared" si="146"/>
        <v>0</v>
      </c>
      <c r="J145" s="78">
        <f t="shared" si="146"/>
        <v>0</v>
      </c>
      <c r="K145" s="78">
        <f t="shared" si="146"/>
        <v>0</v>
      </c>
      <c r="L145" s="78">
        <f t="shared" si="146"/>
        <v>0</v>
      </c>
      <c r="M145" s="78">
        <f t="shared" si="146"/>
        <v>0</v>
      </c>
      <c r="N145" s="78">
        <f t="shared" si="146"/>
        <v>0</v>
      </c>
      <c r="O145" s="78">
        <f t="shared" si="146"/>
        <v>0</v>
      </c>
      <c r="P145" s="78">
        <f t="shared" si="146"/>
        <v>0</v>
      </c>
      <c r="Q145" s="78">
        <f t="shared" si="146"/>
        <v>0</v>
      </c>
      <c r="R145" s="78">
        <f t="shared" si="146"/>
        <v>0</v>
      </c>
      <c r="S145" s="78">
        <f t="shared" si="146"/>
        <v>0</v>
      </c>
      <c r="T145" s="78">
        <f t="shared" si="146"/>
        <v>0</v>
      </c>
      <c r="U145" s="78">
        <f t="shared" si="146"/>
        <v>0</v>
      </c>
      <c r="V145" s="78">
        <f t="shared" si="146"/>
        <v>0</v>
      </c>
      <c r="W145" s="78">
        <f t="shared" si="146"/>
        <v>0</v>
      </c>
      <c r="X145" s="78">
        <f t="shared" si="146"/>
        <v>0</v>
      </c>
      <c r="Y145" s="78">
        <f t="shared" si="146"/>
        <v>0</v>
      </c>
      <c r="Z145" s="78">
        <f t="shared" si="146"/>
        <v>0</v>
      </c>
      <c r="AB145" s="79">
        <f>IF(scenario_display="Low",AB142,IF(scenario_display="Medium",AB143,AB144))</f>
        <v>0</v>
      </c>
      <c r="AC145" s="80">
        <f>IF(scenario_display="Low",AC142,IF(scenario_display="Medium",AC143,AC144))</f>
        <v>0</v>
      </c>
      <c r="AD145" s="81">
        <f>IF(scenario_display="Low",AD142,IF(scenario_display="Medium",AD143,AD144))</f>
        <v>0</v>
      </c>
    </row>
    <row r="146" spans="1:30" ht="12.75" customHeight="1" x14ac:dyDescent="0.2">
      <c r="A146" s="248" t="s">
        <v>77</v>
      </c>
      <c r="B146" s="248">
        <f>ship_plot</f>
        <v>0</v>
      </c>
      <c r="C146" s="30" t="s">
        <v>17</v>
      </c>
      <c r="D146" s="56">
        <f t="shared" ref="D146:Z146" si="147">IF(ship_plot=ship1,D106,IF(ship_plot=ship2,D109,IF(ship_plot=ship3,D112,IF(ship_plot=ship4,D115,IF(ship_plot=ship5,D118,IF(ship_plot=ship6,D121,"error"))))))</f>
        <v>0</v>
      </c>
      <c r="E146" s="56">
        <f t="shared" si="147"/>
        <v>0</v>
      </c>
      <c r="F146" s="56">
        <f t="shared" si="147"/>
        <v>0</v>
      </c>
      <c r="G146" s="56">
        <f t="shared" si="147"/>
        <v>0</v>
      </c>
      <c r="H146" s="56">
        <f t="shared" si="147"/>
        <v>0</v>
      </c>
      <c r="I146" s="56">
        <f t="shared" si="147"/>
        <v>0</v>
      </c>
      <c r="J146" s="56">
        <f t="shared" si="147"/>
        <v>0</v>
      </c>
      <c r="K146" s="56">
        <f t="shared" si="147"/>
        <v>0</v>
      </c>
      <c r="L146" s="56">
        <f t="shared" si="147"/>
        <v>0</v>
      </c>
      <c r="M146" s="56">
        <f t="shared" si="147"/>
        <v>0</v>
      </c>
      <c r="N146" s="56">
        <f t="shared" si="147"/>
        <v>0</v>
      </c>
      <c r="O146" s="56">
        <f t="shared" si="147"/>
        <v>0</v>
      </c>
      <c r="P146" s="56">
        <f t="shared" si="147"/>
        <v>0</v>
      </c>
      <c r="Q146" s="56">
        <f t="shared" si="147"/>
        <v>0</v>
      </c>
      <c r="R146" s="56">
        <f t="shared" si="147"/>
        <v>0</v>
      </c>
      <c r="S146" s="56">
        <f t="shared" si="147"/>
        <v>0</v>
      </c>
      <c r="T146" s="56">
        <f t="shared" si="147"/>
        <v>0</v>
      </c>
      <c r="U146" s="56">
        <f t="shared" si="147"/>
        <v>0</v>
      </c>
      <c r="V146" s="56">
        <f t="shared" si="147"/>
        <v>0</v>
      </c>
      <c r="W146" s="56">
        <f t="shared" si="147"/>
        <v>0</v>
      </c>
      <c r="X146" s="56">
        <f t="shared" si="147"/>
        <v>0</v>
      </c>
      <c r="Y146" s="56">
        <f t="shared" si="147"/>
        <v>0</v>
      </c>
      <c r="Z146" s="56">
        <f t="shared" si="147"/>
        <v>0</v>
      </c>
      <c r="AB146" s="82">
        <f t="shared" ref="AB146:AB151" si="148">AVERAGE(D146:E146)/10^6</f>
        <v>0</v>
      </c>
      <c r="AC146" s="83">
        <f t="shared" ref="AC146:AC151" si="149">AVERAGE(F146:J146)/10^6</f>
        <v>0</v>
      </c>
      <c r="AD146" s="84">
        <f t="shared" ref="AD146:AD151" si="150">AVERAGE(K146:Z146)/10^6</f>
        <v>0</v>
      </c>
    </row>
    <row r="147" spans="1:30" x14ac:dyDescent="0.2">
      <c r="A147" s="248"/>
      <c r="B147" s="248"/>
      <c r="C147" s="30" t="s">
        <v>18</v>
      </c>
      <c r="D147" s="60">
        <f t="shared" ref="D147:Z147" si="151">IF(ship_plot=ship1,D107,IF(ship_plot=ship2,D110,IF(ship_plot=ship3,D113,IF(ship_plot=ship4,D116,IF(ship_plot=ship5,D119,IF(ship_plot=ship6,D122,"error"))))))</f>
        <v>0</v>
      </c>
      <c r="E147" s="60">
        <f t="shared" si="151"/>
        <v>0</v>
      </c>
      <c r="F147" s="60">
        <f t="shared" si="151"/>
        <v>0</v>
      </c>
      <c r="G147" s="60">
        <f t="shared" si="151"/>
        <v>0</v>
      </c>
      <c r="H147" s="60">
        <f t="shared" si="151"/>
        <v>0</v>
      </c>
      <c r="I147" s="60">
        <f t="shared" si="151"/>
        <v>0</v>
      </c>
      <c r="J147" s="60">
        <f t="shared" si="151"/>
        <v>0</v>
      </c>
      <c r="K147" s="60">
        <f t="shared" si="151"/>
        <v>0</v>
      </c>
      <c r="L147" s="60">
        <f t="shared" si="151"/>
        <v>0</v>
      </c>
      <c r="M147" s="60">
        <f t="shared" si="151"/>
        <v>0</v>
      </c>
      <c r="N147" s="60">
        <f t="shared" si="151"/>
        <v>0</v>
      </c>
      <c r="O147" s="60">
        <f t="shared" si="151"/>
        <v>0</v>
      </c>
      <c r="P147" s="60">
        <f t="shared" si="151"/>
        <v>0</v>
      </c>
      <c r="Q147" s="60">
        <f t="shared" si="151"/>
        <v>0</v>
      </c>
      <c r="R147" s="60">
        <f t="shared" si="151"/>
        <v>0</v>
      </c>
      <c r="S147" s="60">
        <f t="shared" si="151"/>
        <v>0</v>
      </c>
      <c r="T147" s="60">
        <f t="shared" si="151"/>
        <v>0</v>
      </c>
      <c r="U147" s="60">
        <f t="shared" si="151"/>
        <v>0</v>
      </c>
      <c r="V147" s="60">
        <f t="shared" si="151"/>
        <v>0</v>
      </c>
      <c r="W147" s="60">
        <f t="shared" si="151"/>
        <v>0</v>
      </c>
      <c r="X147" s="60">
        <f t="shared" si="151"/>
        <v>0</v>
      </c>
      <c r="Y147" s="60">
        <f t="shared" si="151"/>
        <v>0</v>
      </c>
      <c r="Z147" s="60">
        <f t="shared" si="151"/>
        <v>0</v>
      </c>
      <c r="AB147" s="85">
        <f t="shared" si="148"/>
        <v>0</v>
      </c>
      <c r="AC147" s="86">
        <f t="shared" si="149"/>
        <v>0</v>
      </c>
      <c r="AD147" s="87">
        <f t="shared" si="150"/>
        <v>0</v>
      </c>
    </row>
    <row r="148" spans="1:30" ht="13.5" thickBot="1" x14ac:dyDescent="0.25">
      <c r="A148" s="248"/>
      <c r="B148" s="248"/>
      <c r="C148" s="30" t="s">
        <v>19</v>
      </c>
      <c r="D148" s="63">
        <f t="shared" ref="D148:Z148" si="152">IF(ship_plot=ship1,D108,IF(ship_plot=ship2,D111,IF(ship_plot=ship3,D114,IF(ship_plot=ship4,D117,IF(ship_plot=ship5,D120,IF(ship_plot=ship6,D123,"error"))))))</f>
        <v>0</v>
      </c>
      <c r="E148" s="63">
        <f t="shared" si="152"/>
        <v>0</v>
      </c>
      <c r="F148" s="63">
        <f t="shared" si="152"/>
        <v>0</v>
      </c>
      <c r="G148" s="63">
        <f t="shared" si="152"/>
        <v>0</v>
      </c>
      <c r="H148" s="63">
        <f t="shared" si="152"/>
        <v>0</v>
      </c>
      <c r="I148" s="63">
        <f t="shared" si="152"/>
        <v>0</v>
      </c>
      <c r="J148" s="63">
        <f t="shared" si="152"/>
        <v>0</v>
      </c>
      <c r="K148" s="63">
        <f t="shared" si="152"/>
        <v>0</v>
      </c>
      <c r="L148" s="63">
        <f t="shared" si="152"/>
        <v>0</v>
      </c>
      <c r="M148" s="63">
        <f t="shared" si="152"/>
        <v>0</v>
      </c>
      <c r="N148" s="63">
        <f t="shared" si="152"/>
        <v>0</v>
      </c>
      <c r="O148" s="63">
        <f t="shared" si="152"/>
        <v>0</v>
      </c>
      <c r="P148" s="63">
        <f t="shared" si="152"/>
        <v>0</v>
      </c>
      <c r="Q148" s="63">
        <f t="shared" si="152"/>
        <v>0</v>
      </c>
      <c r="R148" s="63">
        <f t="shared" si="152"/>
        <v>0</v>
      </c>
      <c r="S148" s="63">
        <f t="shared" si="152"/>
        <v>0</v>
      </c>
      <c r="T148" s="63">
        <f t="shared" si="152"/>
        <v>0</v>
      </c>
      <c r="U148" s="63">
        <f t="shared" si="152"/>
        <v>0</v>
      </c>
      <c r="V148" s="63">
        <f t="shared" si="152"/>
        <v>0</v>
      </c>
      <c r="W148" s="63">
        <f t="shared" si="152"/>
        <v>0</v>
      </c>
      <c r="X148" s="63">
        <f t="shared" si="152"/>
        <v>0</v>
      </c>
      <c r="Y148" s="63">
        <f t="shared" si="152"/>
        <v>0</v>
      </c>
      <c r="Z148" s="63">
        <f t="shared" si="152"/>
        <v>0</v>
      </c>
      <c r="AB148" s="88">
        <f t="shared" si="148"/>
        <v>0</v>
      </c>
      <c r="AC148" s="89">
        <f t="shared" si="149"/>
        <v>0</v>
      </c>
      <c r="AD148" s="90">
        <f t="shared" si="150"/>
        <v>0</v>
      </c>
    </row>
    <row r="149" spans="1:30" ht="12.75" customHeight="1" x14ac:dyDescent="0.2">
      <c r="A149" s="248" t="s">
        <v>78</v>
      </c>
      <c r="B149" s="248">
        <f>ship_plot</f>
        <v>0</v>
      </c>
      <c r="C149" s="30" t="s">
        <v>17</v>
      </c>
      <c r="D149" s="56">
        <f t="shared" ref="D149:Z149" si="153">IF(ship_plot=ship1,D88,IF(ship_plot=ship2,D91,IF(ship_plot=ship3,D94,IF(ship_plot=ship4,D97,IF(ship_plot=ship5,D100,IF(ship_plot=ship6,D103,"error"))))))</f>
        <v>0</v>
      </c>
      <c r="E149" s="56">
        <f t="shared" si="153"/>
        <v>0</v>
      </c>
      <c r="F149" s="56">
        <f t="shared" si="153"/>
        <v>0</v>
      </c>
      <c r="G149" s="56">
        <f t="shared" si="153"/>
        <v>0</v>
      </c>
      <c r="H149" s="56">
        <f t="shared" si="153"/>
        <v>0</v>
      </c>
      <c r="I149" s="56">
        <f t="shared" si="153"/>
        <v>0</v>
      </c>
      <c r="J149" s="56">
        <f t="shared" si="153"/>
        <v>0</v>
      </c>
      <c r="K149" s="56">
        <f t="shared" si="153"/>
        <v>0</v>
      </c>
      <c r="L149" s="56">
        <f t="shared" si="153"/>
        <v>0</v>
      </c>
      <c r="M149" s="56">
        <f t="shared" si="153"/>
        <v>0</v>
      </c>
      <c r="N149" s="56">
        <f t="shared" si="153"/>
        <v>0</v>
      </c>
      <c r="O149" s="56">
        <f t="shared" si="153"/>
        <v>0</v>
      </c>
      <c r="P149" s="56">
        <f t="shared" si="153"/>
        <v>0</v>
      </c>
      <c r="Q149" s="56">
        <f t="shared" si="153"/>
        <v>0</v>
      </c>
      <c r="R149" s="56">
        <f t="shared" si="153"/>
        <v>0</v>
      </c>
      <c r="S149" s="56">
        <f t="shared" si="153"/>
        <v>0</v>
      </c>
      <c r="T149" s="56">
        <f t="shared" si="153"/>
        <v>0</v>
      </c>
      <c r="U149" s="56">
        <f t="shared" si="153"/>
        <v>0</v>
      </c>
      <c r="V149" s="56">
        <f t="shared" si="153"/>
        <v>0</v>
      </c>
      <c r="W149" s="56">
        <f t="shared" si="153"/>
        <v>0</v>
      </c>
      <c r="X149" s="56">
        <f t="shared" si="153"/>
        <v>0</v>
      </c>
      <c r="Y149" s="56">
        <f t="shared" si="153"/>
        <v>0</v>
      </c>
      <c r="Z149" s="56">
        <f t="shared" si="153"/>
        <v>0</v>
      </c>
      <c r="AB149" s="91">
        <f t="shared" si="148"/>
        <v>0</v>
      </c>
      <c r="AC149" s="92">
        <f t="shared" si="149"/>
        <v>0</v>
      </c>
      <c r="AD149" s="93">
        <f t="shared" si="150"/>
        <v>0</v>
      </c>
    </row>
    <row r="150" spans="1:30" x14ac:dyDescent="0.2">
      <c r="A150" s="248"/>
      <c r="B150" s="248"/>
      <c r="C150" s="30" t="s">
        <v>18</v>
      </c>
      <c r="D150" s="60">
        <f t="shared" ref="D150:Z150" si="154">IF(ship_plot=ship1,D89,IF(ship_plot=ship2,D92,IF(ship_plot=ship3,D95,IF(ship_plot=ship4,D98,IF(ship_plot=ship5,D101,IF(ship_plot=ship6,D104,"error"))))))</f>
        <v>0</v>
      </c>
      <c r="E150" s="60">
        <f t="shared" si="154"/>
        <v>0</v>
      </c>
      <c r="F150" s="60">
        <f t="shared" si="154"/>
        <v>0</v>
      </c>
      <c r="G150" s="60">
        <f t="shared" si="154"/>
        <v>0</v>
      </c>
      <c r="H150" s="60">
        <f t="shared" si="154"/>
        <v>0</v>
      </c>
      <c r="I150" s="60">
        <f t="shared" si="154"/>
        <v>0</v>
      </c>
      <c r="J150" s="60">
        <f t="shared" si="154"/>
        <v>0</v>
      </c>
      <c r="K150" s="60">
        <f t="shared" si="154"/>
        <v>0</v>
      </c>
      <c r="L150" s="60">
        <f t="shared" si="154"/>
        <v>0</v>
      </c>
      <c r="M150" s="60">
        <f t="shared" si="154"/>
        <v>0</v>
      </c>
      <c r="N150" s="60">
        <f t="shared" si="154"/>
        <v>0</v>
      </c>
      <c r="O150" s="60">
        <f t="shared" si="154"/>
        <v>0</v>
      </c>
      <c r="P150" s="60">
        <f t="shared" si="154"/>
        <v>0</v>
      </c>
      <c r="Q150" s="60">
        <f t="shared" si="154"/>
        <v>0</v>
      </c>
      <c r="R150" s="60">
        <f t="shared" si="154"/>
        <v>0</v>
      </c>
      <c r="S150" s="60">
        <f t="shared" si="154"/>
        <v>0</v>
      </c>
      <c r="T150" s="60">
        <f t="shared" si="154"/>
        <v>0</v>
      </c>
      <c r="U150" s="60">
        <f t="shared" si="154"/>
        <v>0</v>
      </c>
      <c r="V150" s="60">
        <f t="shared" si="154"/>
        <v>0</v>
      </c>
      <c r="W150" s="60">
        <f t="shared" si="154"/>
        <v>0</v>
      </c>
      <c r="X150" s="60">
        <f t="shared" si="154"/>
        <v>0</v>
      </c>
      <c r="Y150" s="60">
        <f t="shared" si="154"/>
        <v>0</v>
      </c>
      <c r="Z150" s="60">
        <f t="shared" si="154"/>
        <v>0</v>
      </c>
      <c r="AB150" s="85">
        <f t="shared" si="148"/>
        <v>0</v>
      </c>
      <c r="AC150" s="86">
        <f t="shared" si="149"/>
        <v>0</v>
      </c>
      <c r="AD150" s="87">
        <f t="shared" si="150"/>
        <v>0</v>
      </c>
    </row>
    <row r="151" spans="1:30" ht="13.5" thickBot="1" x14ac:dyDescent="0.25">
      <c r="A151" s="248"/>
      <c r="B151" s="248"/>
      <c r="C151" s="30" t="s">
        <v>19</v>
      </c>
      <c r="D151" s="63">
        <f t="shared" ref="D151:Z151" si="155">IF(ship_plot=ship1,D90,IF(ship_plot=ship2,D93,IF(ship_plot=ship3,D96,IF(ship_plot=ship4,D99,IF(ship_plot=ship5,D102,IF(ship_plot=ship6,D105,"error"))))))</f>
        <v>0</v>
      </c>
      <c r="E151" s="63">
        <f t="shared" si="155"/>
        <v>0</v>
      </c>
      <c r="F151" s="63">
        <f t="shared" si="155"/>
        <v>0</v>
      </c>
      <c r="G151" s="63">
        <f t="shared" si="155"/>
        <v>0</v>
      </c>
      <c r="H151" s="63">
        <f t="shared" si="155"/>
        <v>0</v>
      </c>
      <c r="I151" s="63">
        <f t="shared" si="155"/>
        <v>0</v>
      </c>
      <c r="J151" s="63">
        <f t="shared" si="155"/>
        <v>0</v>
      </c>
      <c r="K151" s="63">
        <f t="shared" si="155"/>
        <v>0</v>
      </c>
      <c r="L151" s="63">
        <f t="shared" si="155"/>
        <v>0</v>
      </c>
      <c r="M151" s="63">
        <f t="shared" si="155"/>
        <v>0</v>
      </c>
      <c r="N151" s="63">
        <f t="shared" si="155"/>
        <v>0</v>
      </c>
      <c r="O151" s="63">
        <f t="shared" si="155"/>
        <v>0</v>
      </c>
      <c r="P151" s="63">
        <f t="shared" si="155"/>
        <v>0</v>
      </c>
      <c r="Q151" s="63">
        <f t="shared" si="155"/>
        <v>0</v>
      </c>
      <c r="R151" s="63">
        <f t="shared" si="155"/>
        <v>0</v>
      </c>
      <c r="S151" s="63">
        <f t="shared" si="155"/>
        <v>0</v>
      </c>
      <c r="T151" s="63">
        <f t="shared" si="155"/>
        <v>0</v>
      </c>
      <c r="U151" s="63">
        <f t="shared" si="155"/>
        <v>0</v>
      </c>
      <c r="V151" s="63">
        <f t="shared" si="155"/>
        <v>0</v>
      </c>
      <c r="W151" s="63">
        <f t="shared" si="155"/>
        <v>0</v>
      </c>
      <c r="X151" s="63">
        <f t="shared" si="155"/>
        <v>0</v>
      </c>
      <c r="Y151" s="63">
        <f t="shared" si="155"/>
        <v>0</v>
      </c>
      <c r="Z151" s="63">
        <f t="shared" si="155"/>
        <v>0</v>
      </c>
      <c r="AB151" s="94">
        <f t="shared" si="148"/>
        <v>0</v>
      </c>
      <c r="AC151" s="95">
        <f t="shared" si="149"/>
        <v>0</v>
      </c>
      <c r="AD151" s="96">
        <f t="shared" si="150"/>
        <v>0</v>
      </c>
    </row>
    <row r="152" spans="1:30" x14ac:dyDescent="0.2">
      <c r="A152" s="76" t="s">
        <v>54</v>
      </c>
      <c r="B152" s="76">
        <f>ship_plot</f>
        <v>0</v>
      </c>
      <c r="C152" s="77">
        <f>scenario_display</f>
        <v>0</v>
      </c>
      <c r="D152" s="78">
        <f t="shared" ref="D152:Z152" si="156">IF(scenario_display="Low",D146,IF(scenario_display="Medium",D147,D148))</f>
        <v>0</v>
      </c>
      <c r="E152" s="78">
        <f t="shared" si="156"/>
        <v>0</v>
      </c>
      <c r="F152" s="78">
        <f t="shared" si="156"/>
        <v>0</v>
      </c>
      <c r="G152" s="78">
        <f t="shared" si="156"/>
        <v>0</v>
      </c>
      <c r="H152" s="78">
        <f t="shared" si="156"/>
        <v>0</v>
      </c>
      <c r="I152" s="78">
        <f t="shared" si="156"/>
        <v>0</v>
      </c>
      <c r="J152" s="78">
        <f t="shared" si="156"/>
        <v>0</v>
      </c>
      <c r="K152" s="78">
        <f t="shared" si="156"/>
        <v>0</v>
      </c>
      <c r="L152" s="78">
        <f t="shared" si="156"/>
        <v>0</v>
      </c>
      <c r="M152" s="78">
        <f t="shared" si="156"/>
        <v>0</v>
      </c>
      <c r="N152" s="78">
        <f t="shared" si="156"/>
        <v>0</v>
      </c>
      <c r="O152" s="78">
        <f t="shared" si="156"/>
        <v>0</v>
      </c>
      <c r="P152" s="78">
        <f t="shared" si="156"/>
        <v>0</v>
      </c>
      <c r="Q152" s="78">
        <f t="shared" si="156"/>
        <v>0</v>
      </c>
      <c r="R152" s="78">
        <f t="shared" si="156"/>
        <v>0</v>
      </c>
      <c r="S152" s="78">
        <f t="shared" si="156"/>
        <v>0</v>
      </c>
      <c r="T152" s="78">
        <f t="shared" si="156"/>
        <v>0</v>
      </c>
      <c r="U152" s="78">
        <f t="shared" si="156"/>
        <v>0</v>
      </c>
      <c r="V152" s="78">
        <f t="shared" si="156"/>
        <v>0</v>
      </c>
      <c r="W152" s="78">
        <f t="shared" si="156"/>
        <v>0</v>
      </c>
      <c r="X152" s="78">
        <f t="shared" si="156"/>
        <v>0</v>
      </c>
      <c r="Y152" s="78">
        <f t="shared" si="156"/>
        <v>0</v>
      </c>
      <c r="Z152" s="78">
        <f t="shared" si="156"/>
        <v>0</v>
      </c>
      <c r="AA152" s="97"/>
      <c r="AB152" s="98">
        <f>IF(scenario_display="Low",AB146,IF(scenario_display="Medium",AB147,AB148))</f>
        <v>0</v>
      </c>
      <c r="AC152" s="99">
        <f>IF(scenario_display="Low",AC146,IF(scenario_display="Medium",AC147,AC148))</f>
        <v>0</v>
      </c>
      <c r="AD152" s="99">
        <f>IF(scenario_display="Low",AD146,IF(scenario_display="Medium",AD147,AD148))</f>
        <v>0</v>
      </c>
    </row>
    <row r="153" spans="1:30" ht="13.5" thickBot="1" x14ac:dyDescent="0.25">
      <c r="A153" s="76" t="s">
        <v>55</v>
      </c>
      <c r="B153" s="76">
        <f>ship_plot</f>
        <v>0</v>
      </c>
      <c r="C153" s="77">
        <f>scenario_display</f>
        <v>0</v>
      </c>
      <c r="D153" s="78">
        <f t="shared" ref="D153:Z153" si="157">IF(scenario_display="Low",D149,IF(scenario_display="Medium",D150,D151))</f>
        <v>0</v>
      </c>
      <c r="E153" s="78">
        <f t="shared" si="157"/>
        <v>0</v>
      </c>
      <c r="F153" s="78">
        <f t="shared" si="157"/>
        <v>0</v>
      </c>
      <c r="G153" s="78">
        <f t="shared" si="157"/>
        <v>0</v>
      </c>
      <c r="H153" s="78">
        <f t="shared" si="157"/>
        <v>0</v>
      </c>
      <c r="I153" s="78">
        <f t="shared" si="157"/>
        <v>0</v>
      </c>
      <c r="J153" s="78">
        <f t="shared" si="157"/>
        <v>0</v>
      </c>
      <c r="K153" s="78">
        <f t="shared" si="157"/>
        <v>0</v>
      </c>
      <c r="L153" s="78">
        <f t="shared" si="157"/>
        <v>0</v>
      </c>
      <c r="M153" s="78">
        <f t="shared" si="157"/>
        <v>0</v>
      </c>
      <c r="N153" s="78">
        <f t="shared" si="157"/>
        <v>0</v>
      </c>
      <c r="O153" s="78">
        <f t="shared" si="157"/>
        <v>0</v>
      </c>
      <c r="P153" s="78">
        <f t="shared" si="157"/>
        <v>0</v>
      </c>
      <c r="Q153" s="78">
        <f t="shared" si="157"/>
        <v>0</v>
      </c>
      <c r="R153" s="78">
        <f t="shared" si="157"/>
        <v>0</v>
      </c>
      <c r="S153" s="78">
        <f t="shared" si="157"/>
        <v>0</v>
      </c>
      <c r="T153" s="78">
        <f t="shared" si="157"/>
        <v>0</v>
      </c>
      <c r="U153" s="78">
        <f t="shared" si="157"/>
        <v>0</v>
      </c>
      <c r="V153" s="78">
        <f t="shared" si="157"/>
        <v>0</v>
      </c>
      <c r="W153" s="78">
        <f t="shared" si="157"/>
        <v>0</v>
      </c>
      <c r="X153" s="78">
        <f t="shared" si="157"/>
        <v>0</v>
      </c>
      <c r="Y153" s="78">
        <f t="shared" si="157"/>
        <v>0</v>
      </c>
      <c r="Z153" s="78">
        <f t="shared" si="157"/>
        <v>0</v>
      </c>
      <c r="AA153" s="97"/>
      <c r="AB153" s="100">
        <f>IF(scenario_display="Low",AB149,IF(scenario_display="Medium",AB150,AB151))</f>
        <v>0</v>
      </c>
      <c r="AC153" s="101">
        <f>IF(scenario_display="Low",AC149,IF(scenario_display="Medium",AC150,AC151))</f>
        <v>0</v>
      </c>
      <c r="AD153" s="101">
        <f>IF(scenario_display="Low",AD149,IF(scenario_display="Medium",AD150,AD151))</f>
        <v>0</v>
      </c>
    </row>
    <row r="154" spans="1:30" x14ac:dyDescent="0.2">
      <c r="A154" s="249" t="s">
        <v>143</v>
      </c>
      <c r="B154" s="249">
        <f>ship1</f>
        <v>0</v>
      </c>
      <c r="C154" s="72" t="s">
        <v>17</v>
      </c>
      <c r="D154" s="56">
        <f t="shared" ref="D154:Z154" si="158">SUM(fuel_type1_scrubbed_ship1*(ship1_fuel_type1+IF(D$2&lt;=global0.5,D$58*ship1_fuel_type1_added,ship1_fuel_type1_added))*D$4,fuel_type2_scrubbed_ship1*(ship1_fuel_type2+IF(D$2&lt;=global0.5,D$58*ship1_fuel_type2_added,ship1_fuel_type2_added))*D$16,fuel_type3_scrubbed_ship1*(ship1_fuel_type3+IF(D$2&lt;=global0.5,D$58*ship1_fuel_type3_added,ship1_fuel_type3_added))*D$28+fuel_type4_scrubbed_ship1*(ship1_fuel_type4+IF(D$2&lt;=global0.5,D$58*ship1_fuel_type4_added,ship1_fuel_type4_added))*D$40)+IF(D$2&lt;global0.5,opex_fixed_ship1+D$58*opex_variable_ship1,opex_fixed_ship1+opex_variable_ship1)</f>
        <v>0</v>
      </c>
      <c r="E154" s="56">
        <f t="shared" si="158"/>
        <v>0</v>
      </c>
      <c r="F154" s="56">
        <f t="shared" si="158"/>
        <v>0</v>
      </c>
      <c r="G154" s="56">
        <f t="shared" si="158"/>
        <v>0</v>
      </c>
      <c r="H154" s="56">
        <f t="shared" si="158"/>
        <v>0</v>
      </c>
      <c r="I154" s="56">
        <f t="shared" si="158"/>
        <v>0</v>
      </c>
      <c r="J154" s="56">
        <f t="shared" si="158"/>
        <v>0</v>
      </c>
      <c r="K154" s="56">
        <f t="shared" si="158"/>
        <v>0</v>
      </c>
      <c r="L154" s="56">
        <f t="shared" si="158"/>
        <v>0</v>
      </c>
      <c r="M154" s="56">
        <f t="shared" si="158"/>
        <v>0</v>
      </c>
      <c r="N154" s="56">
        <f t="shared" si="158"/>
        <v>0</v>
      </c>
      <c r="O154" s="56">
        <f t="shared" si="158"/>
        <v>0</v>
      </c>
      <c r="P154" s="56">
        <f t="shared" si="158"/>
        <v>0</v>
      </c>
      <c r="Q154" s="56">
        <f t="shared" si="158"/>
        <v>0</v>
      </c>
      <c r="R154" s="56">
        <f t="shared" si="158"/>
        <v>0</v>
      </c>
      <c r="S154" s="56">
        <f t="shared" si="158"/>
        <v>0</v>
      </c>
      <c r="T154" s="56">
        <f t="shared" si="158"/>
        <v>0</v>
      </c>
      <c r="U154" s="56">
        <f t="shared" si="158"/>
        <v>0</v>
      </c>
      <c r="V154" s="56">
        <f t="shared" si="158"/>
        <v>0</v>
      </c>
      <c r="W154" s="56">
        <f t="shared" si="158"/>
        <v>0</v>
      </c>
      <c r="X154" s="56">
        <f t="shared" si="158"/>
        <v>0</v>
      </c>
      <c r="Y154" s="56">
        <f t="shared" si="158"/>
        <v>0</v>
      </c>
      <c r="Z154" s="56">
        <f t="shared" si="158"/>
        <v>0</v>
      </c>
      <c r="AB154" s="102">
        <f t="shared" ref="AB154:AB207" si="159">AVERAGE(D154:E154)</f>
        <v>0</v>
      </c>
      <c r="AC154" s="103">
        <f t="shared" ref="AC154:AC207" si="160">AVERAGE(F154:J154)</f>
        <v>0</v>
      </c>
      <c r="AD154" s="104">
        <f t="shared" ref="AD154:AD207" si="161">AVERAGE(K154:Z154)</f>
        <v>0</v>
      </c>
    </row>
    <row r="155" spans="1:30" x14ac:dyDescent="0.2">
      <c r="A155" s="249"/>
      <c r="B155" s="249"/>
      <c r="C155" s="72" t="s">
        <v>18</v>
      </c>
      <c r="D155" s="60">
        <f t="shared" ref="D155:Z155" si="162">SUM(fuel_type1_scrubbed_ship1*(ship1_fuel_type1+IF(D$2&lt;=global0.5,D$58*ship1_fuel_type1_added,ship1_fuel_type1_added))*D$8,fuel_type2_scrubbed_ship1*(ship1_fuel_type2+IF(D$2&lt;=global0.5,D$58*ship1_fuel_type2_added,ship1_fuel_type2_added))*D$20,fuel_type3_scrubbed_ship1*(ship1_fuel_type3+IF(D$2&lt;=global0.5,D$58*ship1_fuel_type3_added,ship1_fuel_type3_added))*D$32+fuel_type4_scrubbed_ship1*(ship1_fuel_type4+IF(D$2&lt;=global0.5,D$58*ship1_fuel_type4_added,ship1_fuel_type4_added))*D$44)+IF(D$2&lt;global0.5,opex_fixed_ship1+D$58*opex_variable_ship1,opex_fixed_ship1+opex_variable_ship1)</f>
        <v>0</v>
      </c>
      <c r="E155" s="60">
        <f t="shared" si="162"/>
        <v>0</v>
      </c>
      <c r="F155" s="60">
        <f t="shared" si="162"/>
        <v>0</v>
      </c>
      <c r="G155" s="60">
        <f t="shared" si="162"/>
        <v>0</v>
      </c>
      <c r="H155" s="60">
        <f t="shared" si="162"/>
        <v>0</v>
      </c>
      <c r="I155" s="60">
        <f t="shared" si="162"/>
        <v>0</v>
      </c>
      <c r="J155" s="60">
        <f t="shared" si="162"/>
        <v>0</v>
      </c>
      <c r="K155" s="60">
        <f t="shared" si="162"/>
        <v>0</v>
      </c>
      <c r="L155" s="60">
        <f t="shared" si="162"/>
        <v>0</v>
      </c>
      <c r="M155" s="60">
        <f t="shared" si="162"/>
        <v>0</v>
      </c>
      <c r="N155" s="60">
        <f t="shared" si="162"/>
        <v>0</v>
      </c>
      <c r="O155" s="60">
        <f t="shared" si="162"/>
        <v>0</v>
      </c>
      <c r="P155" s="60">
        <f t="shared" si="162"/>
        <v>0</v>
      </c>
      <c r="Q155" s="60">
        <f t="shared" si="162"/>
        <v>0</v>
      </c>
      <c r="R155" s="60">
        <f t="shared" si="162"/>
        <v>0</v>
      </c>
      <c r="S155" s="60">
        <f t="shared" si="162"/>
        <v>0</v>
      </c>
      <c r="T155" s="60">
        <f t="shared" si="162"/>
        <v>0</v>
      </c>
      <c r="U155" s="60">
        <f t="shared" si="162"/>
        <v>0</v>
      </c>
      <c r="V155" s="60">
        <f t="shared" si="162"/>
        <v>0</v>
      </c>
      <c r="W155" s="60">
        <f t="shared" si="162"/>
        <v>0</v>
      </c>
      <c r="X155" s="60">
        <f t="shared" si="162"/>
        <v>0</v>
      </c>
      <c r="Y155" s="60">
        <f t="shared" si="162"/>
        <v>0</v>
      </c>
      <c r="Z155" s="60">
        <f t="shared" si="162"/>
        <v>0</v>
      </c>
      <c r="AB155" s="61">
        <f t="shared" si="159"/>
        <v>0</v>
      </c>
      <c r="AC155" s="60">
        <f t="shared" si="160"/>
        <v>0</v>
      </c>
      <c r="AD155" s="62">
        <f t="shared" si="161"/>
        <v>0</v>
      </c>
    </row>
    <row r="156" spans="1:30" x14ac:dyDescent="0.2">
      <c r="A156" s="249"/>
      <c r="B156" s="249"/>
      <c r="C156" s="72" t="s">
        <v>19</v>
      </c>
      <c r="D156" s="63">
        <f t="shared" ref="D156:Z156" si="163">SUM(fuel_type1_scrubbed_ship1*(ship1_fuel_type1+IF(D$2&lt;=global0.5,D$58*ship1_fuel_type1_added,ship1_fuel_type1_added))*D$12,fuel_type2_scrubbed_ship1*(ship1_fuel_type2+IF(D$2&lt;=global0.5,D$58*ship1_fuel_type2_added,ship1_fuel_type2_added))*D$24,fuel_type3_scrubbed_ship1*(ship1_fuel_type3+IF(D$2&lt;=global0.5,D$58*ship1_fuel_type3_added,ship1_fuel_type3_added))*D$36+fuel_type4_scrubbed_ship1*(ship1_fuel_type4+IF(D$2&lt;=global0.5,D$58*ship1_fuel_type4_added,ship1_fuel_type4_added))*D$48)+IF(D$2&lt;global0.5,opex_fixed_ship1+D$58*opex_variable_ship1,opex_fixed_ship1+opex_variable_ship1)</f>
        <v>0</v>
      </c>
      <c r="E156" s="63">
        <f t="shared" si="163"/>
        <v>0</v>
      </c>
      <c r="F156" s="63">
        <f t="shared" si="163"/>
        <v>0</v>
      </c>
      <c r="G156" s="63">
        <f t="shared" si="163"/>
        <v>0</v>
      </c>
      <c r="H156" s="63">
        <f t="shared" si="163"/>
        <v>0</v>
      </c>
      <c r="I156" s="63">
        <f t="shared" si="163"/>
        <v>0</v>
      </c>
      <c r="J156" s="63">
        <f t="shared" si="163"/>
        <v>0</v>
      </c>
      <c r="K156" s="63">
        <f t="shared" si="163"/>
        <v>0</v>
      </c>
      <c r="L156" s="63">
        <f t="shared" si="163"/>
        <v>0</v>
      </c>
      <c r="M156" s="63">
        <f t="shared" si="163"/>
        <v>0</v>
      </c>
      <c r="N156" s="63">
        <f t="shared" si="163"/>
        <v>0</v>
      </c>
      <c r="O156" s="63">
        <f t="shared" si="163"/>
        <v>0</v>
      </c>
      <c r="P156" s="63">
        <f t="shared" si="163"/>
        <v>0</v>
      </c>
      <c r="Q156" s="63">
        <f t="shared" si="163"/>
        <v>0</v>
      </c>
      <c r="R156" s="63">
        <f t="shared" si="163"/>
        <v>0</v>
      </c>
      <c r="S156" s="63">
        <f t="shared" si="163"/>
        <v>0</v>
      </c>
      <c r="T156" s="63">
        <f t="shared" si="163"/>
        <v>0</v>
      </c>
      <c r="U156" s="63">
        <f t="shared" si="163"/>
        <v>0</v>
      </c>
      <c r="V156" s="63">
        <f t="shared" si="163"/>
        <v>0</v>
      </c>
      <c r="W156" s="63">
        <f t="shared" si="163"/>
        <v>0</v>
      </c>
      <c r="X156" s="63">
        <f t="shared" si="163"/>
        <v>0</v>
      </c>
      <c r="Y156" s="63">
        <f t="shared" si="163"/>
        <v>0</v>
      </c>
      <c r="Z156" s="63">
        <f t="shared" si="163"/>
        <v>0</v>
      </c>
      <c r="AB156" s="64">
        <f t="shared" si="159"/>
        <v>0</v>
      </c>
      <c r="AC156" s="63">
        <f t="shared" si="160"/>
        <v>0</v>
      </c>
      <c r="AD156" s="65">
        <f t="shared" si="161"/>
        <v>0</v>
      </c>
    </row>
    <row r="157" spans="1:30" x14ac:dyDescent="0.2">
      <c r="A157" s="249"/>
      <c r="B157" s="249">
        <f>ship2</f>
        <v>0</v>
      </c>
      <c r="C157" s="72" t="s">
        <v>17</v>
      </c>
      <c r="D157" s="56">
        <f t="shared" ref="D157:Z157" si="164">SUM(fuel_type1_scrubbed_ship2*(ship2_fuel_type1+IF(D$2&lt;=global0.5,D$60*ship2_fuel_type1_added,ship2_fuel_type1_added))*D$4,fuel_type2_scrubbed_ship2*(ship2_fuel_type2+IF(D$2&lt;=global0.5,D$60*ship2_fuel_type2_added,ship2_fuel_type2_added))*D$16,fuel_type3_scrubbed_ship2*(ship2_fuel_type3+IF(D$2&lt;=global0.5,D$60*ship2_fuel_type3_added,ship2_fuel_type3_added))*D$28+fuel_type4_scrubbed_ship2*(ship2_fuel_type4+IF(D$2&lt;=global0.5,D$60*ship2_fuel_type4_added,ship2_fuel_type4_added))*D$40)+IF(D$2&lt;global0.5,opex_fixed_ship2+D$60*opex_variable_ship2,opex_fixed_ship2+opex_variable_ship2)</f>
        <v>0</v>
      </c>
      <c r="E157" s="56">
        <f t="shared" si="164"/>
        <v>0</v>
      </c>
      <c r="F157" s="56">
        <f t="shared" si="164"/>
        <v>0</v>
      </c>
      <c r="G157" s="56">
        <f t="shared" si="164"/>
        <v>0</v>
      </c>
      <c r="H157" s="56">
        <f t="shared" si="164"/>
        <v>0</v>
      </c>
      <c r="I157" s="56">
        <f t="shared" si="164"/>
        <v>0</v>
      </c>
      <c r="J157" s="56">
        <f t="shared" si="164"/>
        <v>0</v>
      </c>
      <c r="K157" s="56">
        <f t="shared" si="164"/>
        <v>0</v>
      </c>
      <c r="L157" s="56">
        <f t="shared" si="164"/>
        <v>0</v>
      </c>
      <c r="M157" s="56">
        <f t="shared" si="164"/>
        <v>0</v>
      </c>
      <c r="N157" s="56">
        <f t="shared" si="164"/>
        <v>0</v>
      </c>
      <c r="O157" s="56">
        <f t="shared" si="164"/>
        <v>0</v>
      </c>
      <c r="P157" s="56">
        <f t="shared" si="164"/>
        <v>0</v>
      </c>
      <c r="Q157" s="56">
        <f t="shared" si="164"/>
        <v>0</v>
      </c>
      <c r="R157" s="56">
        <f t="shared" si="164"/>
        <v>0</v>
      </c>
      <c r="S157" s="56">
        <f t="shared" si="164"/>
        <v>0</v>
      </c>
      <c r="T157" s="56">
        <f t="shared" si="164"/>
        <v>0</v>
      </c>
      <c r="U157" s="56">
        <f t="shared" si="164"/>
        <v>0</v>
      </c>
      <c r="V157" s="56">
        <f t="shared" si="164"/>
        <v>0</v>
      </c>
      <c r="W157" s="56">
        <f t="shared" si="164"/>
        <v>0</v>
      </c>
      <c r="X157" s="56">
        <f t="shared" si="164"/>
        <v>0</v>
      </c>
      <c r="Y157" s="56">
        <f t="shared" si="164"/>
        <v>0</v>
      </c>
      <c r="Z157" s="56">
        <f t="shared" si="164"/>
        <v>0</v>
      </c>
      <c r="AB157" s="66">
        <f t="shared" si="159"/>
        <v>0</v>
      </c>
      <c r="AC157" s="56">
        <f t="shared" si="160"/>
        <v>0</v>
      </c>
      <c r="AD157" s="67">
        <f t="shared" si="161"/>
        <v>0</v>
      </c>
    </row>
    <row r="158" spans="1:30" x14ac:dyDescent="0.2">
      <c r="A158" s="249"/>
      <c r="B158" s="249"/>
      <c r="C158" s="72" t="s">
        <v>18</v>
      </c>
      <c r="D158" s="60">
        <f t="shared" ref="D158:Z158" si="165">SUM(fuel_type1_scrubbed_ship2*(ship2_fuel_type1+IF(D$2&lt;=global0.5,D$60*ship2_fuel_type1_added,ship2_fuel_type1_added))*D$8,fuel_type2_scrubbed_ship2*(ship2_fuel_type2+IF(D$2&lt;=global0.5,D$60*ship2_fuel_type2_added,ship2_fuel_type2_added))*D$20,fuel_type3_scrubbed_ship2*(ship2_fuel_type3+IF(D$2&lt;=global0.5,D$60*ship2_fuel_type3_added,ship2_fuel_type3_added))*D$32+fuel_type4_scrubbed_ship2*(ship2_fuel_type4+IF(D$2&lt;=global0.5,D$60*ship2_fuel_type4_added,ship2_fuel_type4_added))*D$44)+IF(D$2&lt;global0.5,opex_fixed_ship2+D$60*opex_variable_ship2,opex_fixed_ship2+opex_variable_ship2)</f>
        <v>0</v>
      </c>
      <c r="E158" s="60">
        <f t="shared" si="165"/>
        <v>0</v>
      </c>
      <c r="F158" s="60">
        <f t="shared" si="165"/>
        <v>0</v>
      </c>
      <c r="G158" s="60">
        <f t="shared" si="165"/>
        <v>0</v>
      </c>
      <c r="H158" s="60">
        <f t="shared" si="165"/>
        <v>0</v>
      </c>
      <c r="I158" s="60">
        <f t="shared" si="165"/>
        <v>0</v>
      </c>
      <c r="J158" s="60">
        <f t="shared" si="165"/>
        <v>0</v>
      </c>
      <c r="K158" s="60">
        <f t="shared" si="165"/>
        <v>0</v>
      </c>
      <c r="L158" s="60">
        <f t="shared" si="165"/>
        <v>0</v>
      </c>
      <c r="M158" s="60">
        <f t="shared" si="165"/>
        <v>0</v>
      </c>
      <c r="N158" s="60">
        <f t="shared" si="165"/>
        <v>0</v>
      </c>
      <c r="O158" s="60">
        <f t="shared" si="165"/>
        <v>0</v>
      </c>
      <c r="P158" s="60">
        <f t="shared" si="165"/>
        <v>0</v>
      </c>
      <c r="Q158" s="60">
        <f t="shared" si="165"/>
        <v>0</v>
      </c>
      <c r="R158" s="60">
        <f t="shared" si="165"/>
        <v>0</v>
      </c>
      <c r="S158" s="60">
        <f t="shared" si="165"/>
        <v>0</v>
      </c>
      <c r="T158" s="60">
        <f t="shared" si="165"/>
        <v>0</v>
      </c>
      <c r="U158" s="60">
        <f t="shared" si="165"/>
        <v>0</v>
      </c>
      <c r="V158" s="60">
        <f t="shared" si="165"/>
        <v>0</v>
      </c>
      <c r="W158" s="60">
        <f t="shared" si="165"/>
        <v>0</v>
      </c>
      <c r="X158" s="60">
        <f t="shared" si="165"/>
        <v>0</v>
      </c>
      <c r="Y158" s="60">
        <f t="shared" si="165"/>
        <v>0</v>
      </c>
      <c r="Z158" s="60">
        <f t="shared" si="165"/>
        <v>0</v>
      </c>
      <c r="AB158" s="61">
        <f t="shared" si="159"/>
        <v>0</v>
      </c>
      <c r="AC158" s="60">
        <f t="shared" si="160"/>
        <v>0</v>
      </c>
      <c r="AD158" s="62">
        <f t="shared" si="161"/>
        <v>0</v>
      </c>
    </row>
    <row r="159" spans="1:30" x14ac:dyDescent="0.2">
      <c r="A159" s="249"/>
      <c r="B159" s="249"/>
      <c r="C159" s="72" t="s">
        <v>19</v>
      </c>
      <c r="D159" s="63">
        <f t="shared" ref="D159:Z159" si="166">SUM(fuel_type1_scrubbed_ship2*(ship2_fuel_type1+IF(D$2&lt;=global0.5,D$60*ship2_fuel_type1_added,ship2_fuel_type1_added))*D$12,fuel_type2_scrubbed_ship2*(ship2_fuel_type2+IF(D$2&lt;=global0.5,D$60*ship2_fuel_type2_added,ship2_fuel_type2_added))*D$24,fuel_type3_scrubbed_ship2*(ship2_fuel_type3+IF(D$2&lt;=global0.5,D$60*ship2_fuel_type3_added,ship2_fuel_type3_added))*D$36+fuel_type4_scrubbed_ship2*(ship2_fuel_type4+IF(D$2&lt;=global0.5,D$60*ship2_fuel_type4_added,ship2_fuel_type4_added))*D$48)+IF(D$2&lt;global0.5,opex_fixed_ship2+D$60*opex_variable_ship2,opex_fixed_ship2+opex_variable_ship2)</f>
        <v>0</v>
      </c>
      <c r="E159" s="63">
        <f t="shared" si="166"/>
        <v>0</v>
      </c>
      <c r="F159" s="63">
        <f t="shared" si="166"/>
        <v>0</v>
      </c>
      <c r="G159" s="63">
        <f t="shared" si="166"/>
        <v>0</v>
      </c>
      <c r="H159" s="63">
        <f t="shared" si="166"/>
        <v>0</v>
      </c>
      <c r="I159" s="63">
        <f t="shared" si="166"/>
        <v>0</v>
      </c>
      <c r="J159" s="63">
        <f t="shared" si="166"/>
        <v>0</v>
      </c>
      <c r="K159" s="63">
        <f t="shared" si="166"/>
        <v>0</v>
      </c>
      <c r="L159" s="63">
        <f t="shared" si="166"/>
        <v>0</v>
      </c>
      <c r="M159" s="63">
        <f t="shared" si="166"/>
        <v>0</v>
      </c>
      <c r="N159" s="63">
        <f t="shared" si="166"/>
        <v>0</v>
      </c>
      <c r="O159" s="63">
        <f t="shared" si="166"/>
        <v>0</v>
      </c>
      <c r="P159" s="63">
        <f t="shared" si="166"/>
        <v>0</v>
      </c>
      <c r="Q159" s="63">
        <f t="shared" si="166"/>
        <v>0</v>
      </c>
      <c r="R159" s="63">
        <f t="shared" si="166"/>
        <v>0</v>
      </c>
      <c r="S159" s="63">
        <f t="shared" si="166"/>
        <v>0</v>
      </c>
      <c r="T159" s="63">
        <f t="shared" si="166"/>
        <v>0</v>
      </c>
      <c r="U159" s="63">
        <f t="shared" si="166"/>
        <v>0</v>
      </c>
      <c r="V159" s="63">
        <f t="shared" si="166"/>
        <v>0</v>
      </c>
      <c r="W159" s="63">
        <f t="shared" si="166"/>
        <v>0</v>
      </c>
      <c r="X159" s="63">
        <f t="shared" si="166"/>
        <v>0</v>
      </c>
      <c r="Y159" s="63">
        <f t="shared" si="166"/>
        <v>0</v>
      </c>
      <c r="Z159" s="63">
        <f t="shared" si="166"/>
        <v>0</v>
      </c>
      <c r="AB159" s="64">
        <f t="shared" si="159"/>
        <v>0</v>
      </c>
      <c r="AC159" s="63">
        <f t="shared" si="160"/>
        <v>0</v>
      </c>
      <c r="AD159" s="65">
        <f t="shared" si="161"/>
        <v>0</v>
      </c>
    </row>
    <row r="160" spans="1:30" x14ac:dyDescent="0.2">
      <c r="A160" s="249"/>
      <c r="B160" s="249">
        <f>ship3</f>
        <v>0</v>
      </c>
      <c r="C160" s="72" t="s">
        <v>17</v>
      </c>
      <c r="D160" s="56">
        <f t="shared" ref="D160:Z160" si="167">SUM(fuel_type1_scrubbed_ship3*(ship3_fuel_type1+IF(D$2&lt;=global0.5,D$62*ship3_fuel_type1_added,ship3_fuel_type1_added))*D$4,fuel_type2_scrubbed_ship3*(ship3_fuel_type2+IF(D$2&lt;=global0.5,D$62*ship3_fuel_type2_added,ship3_fuel_type2_added))*D$16,fuel_type3_scrubbed_ship3*(ship3_fuel_type3+IF(D$2&lt;=global0.5,D$62*ship3_fuel_type3_added,ship3_fuel_type3_added))*D$28+fuel_type4_scrubbed_ship3*(ship3_fuel_type4+IF(D$2&lt;=global0.5,D$62*ship3_fuel_type4_added,ship3_fuel_type4_added))*D$40)+IF(D$2&lt;global0.5,opex_fixed_ship3+D$62*opex_variable_ship3,opex_fixed_ship3+opex_variable_ship3)</f>
        <v>0</v>
      </c>
      <c r="E160" s="56">
        <f t="shared" si="167"/>
        <v>0</v>
      </c>
      <c r="F160" s="56">
        <f t="shared" si="167"/>
        <v>0</v>
      </c>
      <c r="G160" s="56">
        <f t="shared" si="167"/>
        <v>0</v>
      </c>
      <c r="H160" s="56">
        <f t="shared" si="167"/>
        <v>0</v>
      </c>
      <c r="I160" s="56">
        <f t="shared" si="167"/>
        <v>0</v>
      </c>
      <c r="J160" s="56">
        <f t="shared" si="167"/>
        <v>0</v>
      </c>
      <c r="K160" s="56">
        <f t="shared" si="167"/>
        <v>0</v>
      </c>
      <c r="L160" s="56">
        <f t="shared" si="167"/>
        <v>0</v>
      </c>
      <c r="M160" s="56">
        <f t="shared" si="167"/>
        <v>0</v>
      </c>
      <c r="N160" s="56">
        <f t="shared" si="167"/>
        <v>0</v>
      </c>
      <c r="O160" s="56">
        <f t="shared" si="167"/>
        <v>0</v>
      </c>
      <c r="P160" s="56">
        <f t="shared" si="167"/>
        <v>0</v>
      </c>
      <c r="Q160" s="56">
        <f t="shared" si="167"/>
        <v>0</v>
      </c>
      <c r="R160" s="56">
        <f t="shared" si="167"/>
        <v>0</v>
      </c>
      <c r="S160" s="56">
        <f t="shared" si="167"/>
        <v>0</v>
      </c>
      <c r="T160" s="56">
        <f t="shared" si="167"/>
        <v>0</v>
      </c>
      <c r="U160" s="56">
        <f t="shared" si="167"/>
        <v>0</v>
      </c>
      <c r="V160" s="56">
        <f t="shared" si="167"/>
        <v>0</v>
      </c>
      <c r="W160" s="56">
        <f t="shared" si="167"/>
        <v>0</v>
      </c>
      <c r="X160" s="56">
        <f t="shared" si="167"/>
        <v>0</v>
      </c>
      <c r="Y160" s="56">
        <f t="shared" si="167"/>
        <v>0</v>
      </c>
      <c r="Z160" s="56">
        <f t="shared" si="167"/>
        <v>0</v>
      </c>
      <c r="AB160" s="66">
        <f t="shared" si="159"/>
        <v>0</v>
      </c>
      <c r="AC160" s="56">
        <f t="shared" si="160"/>
        <v>0</v>
      </c>
      <c r="AD160" s="67">
        <f t="shared" si="161"/>
        <v>0</v>
      </c>
    </row>
    <row r="161" spans="1:30" x14ac:dyDescent="0.2">
      <c r="A161" s="249"/>
      <c r="B161" s="249"/>
      <c r="C161" s="72" t="s">
        <v>18</v>
      </c>
      <c r="D161" s="60">
        <f t="shared" ref="D161:Z161" si="168">SUM(fuel_type1_scrubbed_ship3*(ship3_fuel_type1+IF(D$2&lt;=global0.5,D$62*ship3_fuel_type1_added,ship3_fuel_type1_added))*D$8,fuel_type2_scrubbed_ship3*(ship3_fuel_type2+IF(D$2&lt;=global0.5,D$62*ship3_fuel_type2_added,ship3_fuel_type2_added))*D$20,fuel_type3_scrubbed_ship3*(ship3_fuel_type3+IF(D$2&lt;=global0.5,D$62*ship3_fuel_type3_added,ship3_fuel_type3_added))*D$32+fuel_type4_scrubbed_ship3*(ship3_fuel_type4+IF(D$2&lt;=global0.5,D$62*ship3_fuel_type4_added,ship3_fuel_type4_added))*D$44)+IF(D$2&lt;global0.5,opex_fixed_ship3+D$62*opex_variable_ship3,opex_fixed_ship3+opex_variable_ship3)</f>
        <v>0</v>
      </c>
      <c r="E161" s="60">
        <f t="shared" si="168"/>
        <v>0</v>
      </c>
      <c r="F161" s="60">
        <f t="shared" si="168"/>
        <v>0</v>
      </c>
      <c r="G161" s="60">
        <f t="shared" si="168"/>
        <v>0</v>
      </c>
      <c r="H161" s="60">
        <f t="shared" si="168"/>
        <v>0</v>
      </c>
      <c r="I161" s="60">
        <f t="shared" si="168"/>
        <v>0</v>
      </c>
      <c r="J161" s="60">
        <f t="shared" si="168"/>
        <v>0</v>
      </c>
      <c r="K161" s="60">
        <f t="shared" si="168"/>
        <v>0</v>
      </c>
      <c r="L161" s="60">
        <f t="shared" si="168"/>
        <v>0</v>
      </c>
      <c r="M161" s="60">
        <f t="shared" si="168"/>
        <v>0</v>
      </c>
      <c r="N161" s="60">
        <f t="shared" si="168"/>
        <v>0</v>
      </c>
      <c r="O161" s="60">
        <f t="shared" si="168"/>
        <v>0</v>
      </c>
      <c r="P161" s="60">
        <f t="shared" si="168"/>
        <v>0</v>
      </c>
      <c r="Q161" s="60">
        <f t="shared" si="168"/>
        <v>0</v>
      </c>
      <c r="R161" s="60">
        <f t="shared" si="168"/>
        <v>0</v>
      </c>
      <c r="S161" s="60">
        <f t="shared" si="168"/>
        <v>0</v>
      </c>
      <c r="T161" s="60">
        <f t="shared" si="168"/>
        <v>0</v>
      </c>
      <c r="U161" s="60">
        <f t="shared" si="168"/>
        <v>0</v>
      </c>
      <c r="V161" s="60">
        <f t="shared" si="168"/>
        <v>0</v>
      </c>
      <c r="W161" s="60">
        <f t="shared" si="168"/>
        <v>0</v>
      </c>
      <c r="X161" s="60">
        <f t="shared" si="168"/>
        <v>0</v>
      </c>
      <c r="Y161" s="60">
        <f t="shared" si="168"/>
        <v>0</v>
      </c>
      <c r="Z161" s="60">
        <f t="shared" si="168"/>
        <v>0</v>
      </c>
      <c r="AB161" s="61">
        <f t="shared" si="159"/>
        <v>0</v>
      </c>
      <c r="AC161" s="60">
        <f t="shared" si="160"/>
        <v>0</v>
      </c>
      <c r="AD161" s="62">
        <f t="shared" si="161"/>
        <v>0</v>
      </c>
    </row>
    <row r="162" spans="1:30" x14ac:dyDescent="0.2">
      <c r="A162" s="249"/>
      <c r="B162" s="249"/>
      <c r="C162" s="72" t="s">
        <v>19</v>
      </c>
      <c r="D162" s="63">
        <f t="shared" ref="D162:Z162" si="169">SUM(fuel_type1_scrubbed_ship3*(ship3_fuel_type1+IF(D$2&lt;=global0.5,D$62*ship3_fuel_type1_added,ship3_fuel_type1_added))*D$12,fuel_type2_scrubbed_ship3*(ship3_fuel_type2+IF(D$2&lt;=global0.5,D$62*ship3_fuel_type2_added,ship3_fuel_type2_added))*D$24,fuel_type3_scrubbed_ship3*(ship3_fuel_type3+IF(D$2&lt;=global0.5,D$62*ship3_fuel_type3_added,ship3_fuel_type3_added))*D$36+fuel_type4_scrubbed_ship3*(ship3_fuel_type4+IF(D$2&lt;=global0.5,D$62*ship3_fuel_type4_added,ship3_fuel_type4_added))*D$48)+IF(D$2&lt;global0.5,opex_fixed_ship3+D$62*opex_variable_ship3,opex_fixed_ship3+opex_variable_ship3)</f>
        <v>0</v>
      </c>
      <c r="E162" s="63">
        <f t="shared" si="169"/>
        <v>0</v>
      </c>
      <c r="F162" s="63">
        <f t="shared" si="169"/>
        <v>0</v>
      </c>
      <c r="G162" s="63">
        <f t="shared" si="169"/>
        <v>0</v>
      </c>
      <c r="H162" s="63">
        <f t="shared" si="169"/>
        <v>0</v>
      </c>
      <c r="I162" s="63">
        <f t="shared" si="169"/>
        <v>0</v>
      </c>
      <c r="J162" s="63">
        <f t="shared" si="169"/>
        <v>0</v>
      </c>
      <c r="K162" s="63">
        <f t="shared" si="169"/>
        <v>0</v>
      </c>
      <c r="L162" s="63">
        <f t="shared" si="169"/>
        <v>0</v>
      </c>
      <c r="M162" s="63">
        <f t="shared" si="169"/>
        <v>0</v>
      </c>
      <c r="N162" s="63">
        <f t="shared" si="169"/>
        <v>0</v>
      </c>
      <c r="O162" s="63">
        <f t="shared" si="169"/>
        <v>0</v>
      </c>
      <c r="P162" s="63">
        <f t="shared" si="169"/>
        <v>0</v>
      </c>
      <c r="Q162" s="63">
        <f t="shared" si="169"/>
        <v>0</v>
      </c>
      <c r="R162" s="63">
        <f t="shared" si="169"/>
        <v>0</v>
      </c>
      <c r="S162" s="63">
        <f t="shared" si="169"/>
        <v>0</v>
      </c>
      <c r="T162" s="63">
        <f t="shared" si="169"/>
        <v>0</v>
      </c>
      <c r="U162" s="63">
        <f t="shared" si="169"/>
        <v>0</v>
      </c>
      <c r="V162" s="63">
        <f t="shared" si="169"/>
        <v>0</v>
      </c>
      <c r="W162" s="63">
        <f t="shared" si="169"/>
        <v>0</v>
      </c>
      <c r="X162" s="63">
        <f t="shared" si="169"/>
        <v>0</v>
      </c>
      <c r="Y162" s="63">
        <f t="shared" si="169"/>
        <v>0</v>
      </c>
      <c r="Z162" s="63">
        <f t="shared" si="169"/>
        <v>0</v>
      </c>
      <c r="AB162" s="64">
        <f t="shared" si="159"/>
        <v>0</v>
      </c>
      <c r="AC162" s="63">
        <f t="shared" si="160"/>
        <v>0</v>
      </c>
      <c r="AD162" s="65">
        <f t="shared" si="161"/>
        <v>0</v>
      </c>
    </row>
    <row r="163" spans="1:30" x14ac:dyDescent="0.2">
      <c r="A163" s="249"/>
      <c r="B163" s="249">
        <f>ship4</f>
        <v>0</v>
      </c>
      <c r="C163" s="72" t="s">
        <v>17</v>
      </c>
      <c r="D163" s="56">
        <f t="shared" ref="D163:Z163" si="170">SUM(fuel_type1_scrubbed_ship4*(ship4_fuel_type1+IF(D$2&lt;=global0.5,D$64*ship4_fuel_type1_added,ship4_fuel_type1_added))*D$4,fuel_type2_scrubbed_ship4*(ship4_fuel_type2+IF(D$2&lt;=global0.5,D$64*ship4_fuel_type2_added,ship4_fuel_type2_added))*D$16,fuel_type3_scrubbed_ship4*(ship4_fuel_type3+IF(D$2&lt;=global0.5,D$64*ship4_fuel_type3_added,ship4_fuel_type3_added))*D$28+fuel_type4_scrubbed_ship4*(ship4_fuel_type4+IF(D$2&lt;=global0.5,D$64*ship4_fuel_type4_added,ship4_fuel_type4_added))*D$40)+IF(D$2&lt;global0.5,opex_fixed_ship4+D$64*opex_variable_ship4,opex_fixed_ship4+opex_variable_ship4)</f>
        <v>0</v>
      </c>
      <c r="E163" s="56">
        <f t="shared" si="170"/>
        <v>0</v>
      </c>
      <c r="F163" s="56">
        <f t="shared" si="170"/>
        <v>0</v>
      </c>
      <c r="G163" s="56">
        <f t="shared" si="170"/>
        <v>0</v>
      </c>
      <c r="H163" s="56">
        <f t="shared" si="170"/>
        <v>0</v>
      </c>
      <c r="I163" s="56">
        <f t="shared" si="170"/>
        <v>0</v>
      </c>
      <c r="J163" s="56">
        <f t="shared" si="170"/>
        <v>0</v>
      </c>
      <c r="K163" s="56">
        <f t="shared" si="170"/>
        <v>0</v>
      </c>
      <c r="L163" s="56">
        <f t="shared" si="170"/>
        <v>0</v>
      </c>
      <c r="M163" s="56">
        <f t="shared" si="170"/>
        <v>0</v>
      </c>
      <c r="N163" s="56">
        <f t="shared" si="170"/>
        <v>0</v>
      </c>
      <c r="O163" s="56">
        <f t="shared" si="170"/>
        <v>0</v>
      </c>
      <c r="P163" s="56">
        <f t="shared" si="170"/>
        <v>0</v>
      </c>
      <c r="Q163" s="56">
        <f t="shared" si="170"/>
        <v>0</v>
      </c>
      <c r="R163" s="56">
        <f t="shared" si="170"/>
        <v>0</v>
      </c>
      <c r="S163" s="56">
        <f t="shared" si="170"/>
        <v>0</v>
      </c>
      <c r="T163" s="56">
        <f t="shared" si="170"/>
        <v>0</v>
      </c>
      <c r="U163" s="56">
        <f t="shared" si="170"/>
        <v>0</v>
      </c>
      <c r="V163" s="56">
        <f t="shared" si="170"/>
        <v>0</v>
      </c>
      <c r="W163" s="56">
        <f t="shared" si="170"/>
        <v>0</v>
      </c>
      <c r="X163" s="56">
        <f t="shared" si="170"/>
        <v>0</v>
      </c>
      <c r="Y163" s="56">
        <f t="shared" si="170"/>
        <v>0</v>
      </c>
      <c r="Z163" s="56">
        <f t="shared" si="170"/>
        <v>0</v>
      </c>
      <c r="AB163" s="66">
        <f t="shared" si="159"/>
        <v>0</v>
      </c>
      <c r="AC163" s="56">
        <f t="shared" si="160"/>
        <v>0</v>
      </c>
      <c r="AD163" s="67">
        <f t="shared" si="161"/>
        <v>0</v>
      </c>
    </row>
    <row r="164" spans="1:30" x14ac:dyDescent="0.2">
      <c r="A164" s="249"/>
      <c r="B164" s="249"/>
      <c r="C164" s="72" t="s">
        <v>18</v>
      </c>
      <c r="D164" s="60">
        <f t="shared" ref="D164:Z164" si="171">SUM(fuel_type1_scrubbed_ship4*(ship4_fuel_type1+IF(D$2&lt;=global0.5,D$64*ship4_fuel_type1_added,ship4_fuel_type1_added))*D$8,fuel_type2_scrubbed_ship4*(ship4_fuel_type2+IF(D$2&lt;=global0.5,D$64*ship4_fuel_type2_added,ship4_fuel_type2_added))*D$20,fuel_type3_scrubbed_ship4*(ship4_fuel_type3+IF(D$2&lt;=global0.5,D$64*ship4_fuel_type3_added,ship4_fuel_type3_added))*D$32+fuel_type4_scrubbed_ship4*(ship4_fuel_type4+IF(D$2&lt;=global0.5,D$64*ship4_fuel_type4_added,ship4_fuel_type4_added))*D$44)+IF(D$2&lt;global0.5,opex_fixed_ship4+D$64*opex_variable_ship4,opex_fixed_ship4+opex_variable_ship4)</f>
        <v>0</v>
      </c>
      <c r="E164" s="60">
        <f t="shared" si="171"/>
        <v>0</v>
      </c>
      <c r="F164" s="60">
        <f t="shared" si="171"/>
        <v>0</v>
      </c>
      <c r="G164" s="60">
        <f t="shared" si="171"/>
        <v>0</v>
      </c>
      <c r="H164" s="60">
        <f t="shared" si="171"/>
        <v>0</v>
      </c>
      <c r="I164" s="60">
        <f t="shared" si="171"/>
        <v>0</v>
      </c>
      <c r="J164" s="60">
        <f t="shared" si="171"/>
        <v>0</v>
      </c>
      <c r="K164" s="60">
        <f t="shared" si="171"/>
        <v>0</v>
      </c>
      <c r="L164" s="60">
        <f t="shared" si="171"/>
        <v>0</v>
      </c>
      <c r="M164" s="60">
        <f t="shared" si="171"/>
        <v>0</v>
      </c>
      <c r="N164" s="60">
        <f t="shared" si="171"/>
        <v>0</v>
      </c>
      <c r="O164" s="60">
        <f t="shared" si="171"/>
        <v>0</v>
      </c>
      <c r="P164" s="60">
        <f t="shared" si="171"/>
        <v>0</v>
      </c>
      <c r="Q164" s="60">
        <f t="shared" si="171"/>
        <v>0</v>
      </c>
      <c r="R164" s="60">
        <f t="shared" si="171"/>
        <v>0</v>
      </c>
      <c r="S164" s="60">
        <f t="shared" si="171"/>
        <v>0</v>
      </c>
      <c r="T164" s="60">
        <f t="shared" si="171"/>
        <v>0</v>
      </c>
      <c r="U164" s="60">
        <f t="shared" si="171"/>
        <v>0</v>
      </c>
      <c r="V164" s="60">
        <f t="shared" si="171"/>
        <v>0</v>
      </c>
      <c r="W164" s="60">
        <f t="shared" si="171"/>
        <v>0</v>
      </c>
      <c r="X164" s="60">
        <f t="shared" si="171"/>
        <v>0</v>
      </c>
      <c r="Y164" s="60">
        <f t="shared" si="171"/>
        <v>0</v>
      </c>
      <c r="Z164" s="60">
        <f t="shared" si="171"/>
        <v>0</v>
      </c>
      <c r="AB164" s="61">
        <f t="shared" si="159"/>
        <v>0</v>
      </c>
      <c r="AC164" s="60">
        <f t="shared" si="160"/>
        <v>0</v>
      </c>
      <c r="AD164" s="62">
        <f t="shared" si="161"/>
        <v>0</v>
      </c>
    </row>
    <row r="165" spans="1:30" x14ac:dyDescent="0.2">
      <c r="A165" s="249"/>
      <c r="B165" s="249"/>
      <c r="C165" s="72" t="s">
        <v>19</v>
      </c>
      <c r="D165" s="63">
        <f t="shared" ref="D165:Z165" si="172">SUM(fuel_type1_scrubbed_ship4*(ship4_fuel_type1+IF(D$2&lt;=global0.5,D$64*ship4_fuel_type1_added,ship4_fuel_type1_added))*D$12,fuel_type2_scrubbed_ship4*(ship4_fuel_type2+IF(D$2&lt;=global0.5,D$64*ship4_fuel_type2_added,ship4_fuel_type2_added))*D$24,fuel_type3_scrubbed_ship4*(ship4_fuel_type3+IF(D$2&lt;=global0.5,D$64*ship4_fuel_type3_added,ship4_fuel_type3_added))*D$36+fuel_type4_scrubbed_ship4*(ship4_fuel_type4+IF(D$2&lt;=global0.5,D$64*ship4_fuel_type4_added,ship4_fuel_type4_added))*D$48)+IF(D$2&lt;global0.5,opex_fixed_ship4+D$64*opex_variable_ship4,opex_fixed_ship4+opex_variable_ship4)</f>
        <v>0</v>
      </c>
      <c r="E165" s="63">
        <f t="shared" si="172"/>
        <v>0</v>
      </c>
      <c r="F165" s="63">
        <f t="shared" si="172"/>
        <v>0</v>
      </c>
      <c r="G165" s="63">
        <f t="shared" si="172"/>
        <v>0</v>
      </c>
      <c r="H165" s="63">
        <f t="shared" si="172"/>
        <v>0</v>
      </c>
      <c r="I165" s="63">
        <f t="shared" si="172"/>
        <v>0</v>
      </c>
      <c r="J165" s="63">
        <f t="shared" si="172"/>
        <v>0</v>
      </c>
      <c r="K165" s="63">
        <f t="shared" si="172"/>
        <v>0</v>
      </c>
      <c r="L165" s="63">
        <f t="shared" si="172"/>
        <v>0</v>
      </c>
      <c r="M165" s="63">
        <f t="shared" si="172"/>
        <v>0</v>
      </c>
      <c r="N165" s="63">
        <f t="shared" si="172"/>
        <v>0</v>
      </c>
      <c r="O165" s="63">
        <f t="shared" si="172"/>
        <v>0</v>
      </c>
      <c r="P165" s="63">
        <f t="shared" si="172"/>
        <v>0</v>
      </c>
      <c r="Q165" s="63">
        <f t="shared" si="172"/>
        <v>0</v>
      </c>
      <c r="R165" s="63">
        <f t="shared" si="172"/>
        <v>0</v>
      </c>
      <c r="S165" s="63">
        <f t="shared" si="172"/>
        <v>0</v>
      </c>
      <c r="T165" s="63">
        <f t="shared" si="172"/>
        <v>0</v>
      </c>
      <c r="U165" s="63">
        <f t="shared" si="172"/>
        <v>0</v>
      </c>
      <c r="V165" s="63">
        <f t="shared" si="172"/>
        <v>0</v>
      </c>
      <c r="W165" s="63">
        <f t="shared" si="172"/>
        <v>0</v>
      </c>
      <c r="X165" s="63">
        <f t="shared" si="172"/>
        <v>0</v>
      </c>
      <c r="Y165" s="63">
        <f t="shared" si="172"/>
        <v>0</v>
      </c>
      <c r="Z165" s="63">
        <f t="shared" si="172"/>
        <v>0</v>
      </c>
      <c r="AB165" s="64">
        <f t="shared" si="159"/>
        <v>0</v>
      </c>
      <c r="AC165" s="63">
        <f t="shared" si="160"/>
        <v>0</v>
      </c>
      <c r="AD165" s="65">
        <f t="shared" si="161"/>
        <v>0</v>
      </c>
    </row>
    <row r="166" spans="1:30" x14ac:dyDescent="0.2">
      <c r="A166" s="249"/>
      <c r="B166" s="249">
        <f>ship5</f>
        <v>0</v>
      </c>
      <c r="C166" s="72" t="s">
        <v>17</v>
      </c>
      <c r="D166" s="56">
        <f t="shared" ref="D166:Z166" si="173">SUM(fuel_type1_scrubbed_ship5*(ship5_fuel_type1+IF(D$2&lt;=global0.5,D$66*ship5_fuel_type1_added,ship5_fuel_type1_added))*D$4,fuel_type2_scrubbed_ship5*(ship5_fuel_type2+IF(D$2&lt;=global0.5,D$66*ship5_fuel_type2_added,ship5_fuel_type2_added))*D$16,fuel_type3_scrubbed_ship5*(ship5_fuel_type3+IF(D$2&lt;=global0.5,D$66*ship5_fuel_type3_added,ship5_fuel_type3_added))*D$28+fuel_type4_scrubbed_ship5*(ship5_fuel_type4+IF(D$2&lt;=global0.5,D$66*ship5_fuel_type4_added,ship5_fuel_type4_added))*D$40)+IF(D$2&lt;global0.5,opex_fixed_ship5+D$66*opex_variable_ship5,opex_fixed_ship5+opex_variable_ship5)</f>
        <v>0</v>
      </c>
      <c r="E166" s="56">
        <f t="shared" si="173"/>
        <v>0</v>
      </c>
      <c r="F166" s="56">
        <f t="shared" si="173"/>
        <v>0</v>
      </c>
      <c r="G166" s="56">
        <f t="shared" si="173"/>
        <v>0</v>
      </c>
      <c r="H166" s="56">
        <f t="shared" si="173"/>
        <v>0</v>
      </c>
      <c r="I166" s="56">
        <f t="shared" si="173"/>
        <v>0</v>
      </c>
      <c r="J166" s="56">
        <f t="shared" si="173"/>
        <v>0</v>
      </c>
      <c r="K166" s="56">
        <f t="shared" si="173"/>
        <v>0</v>
      </c>
      <c r="L166" s="56">
        <f t="shared" si="173"/>
        <v>0</v>
      </c>
      <c r="M166" s="56">
        <f t="shared" si="173"/>
        <v>0</v>
      </c>
      <c r="N166" s="56">
        <f t="shared" si="173"/>
        <v>0</v>
      </c>
      <c r="O166" s="56">
        <f t="shared" si="173"/>
        <v>0</v>
      </c>
      <c r="P166" s="56">
        <f t="shared" si="173"/>
        <v>0</v>
      </c>
      <c r="Q166" s="56">
        <f t="shared" si="173"/>
        <v>0</v>
      </c>
      <c r="R166" s="56">
        <f t="shared" si="173"/>
        <v>0</v>
      </c>
      <c r="S166" s="56">
        <f t="shared" si="173"/>
        <v>0</v>
      </c>
      <c r="T166" s="56">
        <f t="shared" si="173"/>
        <v>0</v>
      </c>
      <c r="U166" s="56">
        <f t="shared" si="173"/>
        <v>0</v>
      </c>
      <c r="V166" s="56">
        <f t="shared" si="173"/>
        <v>0</v>
      </c>
      <c r="W166" s="56">
        <f t="shared" si="173"/>
        <v>0</v>
      </c>
      <c r="X166" s="56">
        <f t="shared" si="173"/>
        <v>0</v>
      </c>
      <c r="Y166" s="56">
        <f t="shared" si="173"/>
        <v>0</v>
      </c>
      <c r="Z166" s="56">
        <f t="shared" si="173"/>
        <v>0</v>
      </c>
      <c r="AB166" s="66">
        <f t="shared" si="159"/>
        <v>0</v>
      </c>
      <c r="AC166" s="56">
        <f t="shared" si="160"/>
        <v>0</v>
      </c>
      <c r="AD166" s="67">
        <f t="shared" si="161"/>
        <v>0</v>
      </c>
    </row>
    <row r="167" spans="1:30" x14ac:dyDescent="0.2">
      <c r="A167" s="249"/>
      <c r="B167" s="249"/>
      <c r="C167" s="72" t="s">
        <v>18</v>
      </c>
      <c r="D167" s="60">
        <f t="shared" ref="D167:Z167" si="174">SUM(fuel_type1_scrubbed_ship5*(ship5_fuel_type1+IF(D$2&lt;=global0.5,D$66*ship5_fuel_type1_added,ship5_fuel_type1_added))*D$8,fuel_type2_scrubbed_ship5*(ship5_fuel_type2+IF(D$2&lt;=global0.5,D$66*ship5_fuel_type2_added,ship5_fuel_type2_added))*D$20,fuel_type3_scrubbed_ship5*(ship5_fuel_type3+IF(D$2&lt;=global0.5,D$66*ship5_fuel_type3_added,ship5_fuel_type3_added))*D$32+fuel_type4_scrubbed_ship5*(ship5_fuel_type4+IF(D$2&lt;=global0.5,D$66*ship5_fuel_type4_added,ship5_fuel_type4_added))*D$44)+IF(D$2&lt;global0.5,opex_fixed_ship5+D$66*opex_variable_ship5,opex_fixed_ship5+opex_variable_ship5)</f>
        <v>0</v>
      </c>
      <c r="E167" s="60">
        <f t="shared" si="174"/>
        <v>0</v>
      </c>
      <c r="F167" s="60">
        <f t="shared" si="174"/>
        <v>0</v>
      </c>
      <c r="G167" s="60">
        <f t="shared" si="174"/>
        <v>0</v>
      </c>
      <c r="H167" s="60">
        <f t="shared" si="174"/>
        <v>0</v>
      </c>
      <c r="I167" s="60">
        <f t="shared" si="174"/>
        <v>0</v>
      </c>
      <c r="J167" s="60">
        <f t="shared" si="174"/>
        <v>0</v>
      </c>
      <c r="K167" s="60">
        <f t="shared" si="174"/>
        <v>0</v>
      </c>
      <c r="L167" s="60">
        <f t="shared" si="174"/>
        <v>0</v>
      </c>
      <c r="M167" s="60">
        <f t="shared" si="174"/>
        <v>0</v>
      </c>
      <c r="N167" s="60">
        <f t="shared" si="174"/>
        <v>0</v>
      </c>
      <c r="O167" s="60">
        <f t="shared" si="174"/>
        <v>0</v>
      </c>
      <c r="P167" s="60">
        <f t="shared" si="174"/>
        <v>0</v>
      </c>
      <c r="Q167" s="60">
        <f t="shared" si="174"/>
        <v>0</v>
      </c>
      <c r="R167" s="60">
        <f t="shared" si="174"/>
        <v>0</v>
      </c>
      <c r="S167" s="60">
        <f t="shared" si="174"/>
        <v>0</v>
      </c>
      <c r="T167" s="60">
        <f t="shared" si="174"/>
        <v>0</v>
      </c>
      <c r="U167" s="60">
        <f t="shared" si="174"/>
        <v>0</v>
      </c>
      <c r="V167" s="60">
        <f t="shared" si="174"/>
        <v>0</v>
      </c>
      <c r="W167" s="60">
        <f t="shared" si="174"/>
        <v>0</v>
      </c>
      <c r="X167" s="60">
        <f t="shared" si="174"/>
        <v>0</v>
      </c>
      <c r="Y167" s="60">
        <f t="shared" si="174"/>
        <v>0</v>
      </c>
      <c r="Z167" s="60">
        <f t="shared" si="174"/>
        <v>0</v>
      </c>
      <c r="AB167" s="61">
        <f t="shared" si="159"/>
        <v>0</v>
      </c>
      <c r="AC167" s="60">
        <f t="shared" si="160"/>
        <v>0</v>
      </c>
      <c r="AD167" s="62">
        <f t="shared" si="161"/>
        <v>0</v>
      </c>
    </row>
    <row r="168" spans="1:30" x14ac:dyDescent="0.2">
      <c r="A168" s="249"/>
      <c r="B168" s="249"/>
      <c r="C168" s="72" t="s">
        <v>19</v>
      </c>
      <c r="D168" s="63">
        <f t="shared" ref="D168:Z168" si="175">SUM(fuel_type1_scrubbed_ship5*(ship5_fuel_type1+IF(D$2&lt;=global0.5,D$66*ship5_fuel_type1_added,ship5_fuel_type1_added))*D$12,fuel_type2_scrubbed_ship5*(ship5_fuel_type2+IF(D$2&lt;=global0.5,D$66*ship5_fuel_type2_added,ship5_fuel_type2_added))*D$24,fuel_type3_scrubbed_ship5*(ship5_fuel_type3+IF(D$2&lt;=global0.5,D$66*ship5_fuel_type3_added,ship5_fuel_type3_added))*D$36+fuel_type4_scrubbed_ship5*(ship5_fuel_type4+IF(D$2&lt;=global0.5,D$66*ship5_fuel_type4_added,ship5_fuel_type4_added))*D$48)+IF(D$2&lt;global0.5,opex_fixed_ship5+D$66*opex_variable_ship5,opex_fixed_ship5+opex_variable_ship5)</f>
        <v>0</v>
      </c>
      <c r="E168" s="63">
        <f t="shared" si="175"/>
        <v>0</v>
      </c>
      <c r="F168" s="63">
        <f t="shared" si="175"/>
        <v>0</v>
      </c>
      <c r="G168" s="63">
        <f t="shared" si="175"/>
        <v>0</v>
      </c>
      <c r="H168" s="63">
        <f t="shared" si="175"/>
        <v>0</v>
      </c>
      <c r="I168" s="63">
        <f t="shared" si="175"/>
        <v>0</v>
      </c>
      <c r="J168" s="63">
        <f t="shared" si="175"/>
        <v>0</v>
      </c>
      <c r="K168" s="63">
        <f t="shared" si="175"/>
        <v>0</v>
      </c>
      <c r="L168" s="63">
        <f t="shared" si="175"/>
        <v>0</v>
      </c>
      <c r="M168" s="63">
        <f t="shared" si="175"/>
        <v>0</v>
      </c>
      <c r="N168" s="63">
        <f t="shared" si="175"/>
        <v>0</v>
      </c>
      <c r="O168" s="63">
        <f t="shared" si="175"/>
        <v>0</v>
      </c>
      <c r="P168" s="63">
        <f t="shared" si="175"/>
        <v>0</v>
      </c>
      <c r="Q168" s="63">
        <f t="shared" si="175"/>
        <v>0</v>
      </c>
      <c r="R168" s="63">
        <f t="shared" si="175"/>
        <v>0</v>
      </c>
      <c r="S168" s="63">
        <f t="shared" si="175"/>
        <v>0</v>
      </c>
      <c r="T168" s="63">
        <f t="shared" si="175"/>
        <v>0</v>
      </c>
      <c r="U168" s="63">
        <f t="shared" si="175"/>
        <v>0</v>
      </c>
      <c r="V168" s="63">
        <f t="shared" si="175"/>
        <v>0</v>
      </c>
      <c r="W168" s="63">
        <f t="shared" si="175"/>
        <v>0</v>
      </c>
      <c r="X168" s="63">
        <f t="shared" si="175"/>
        <v>0</v>
      </c>
      <c r="Y168" s="63">
        <f t="shared" si="175"/>
        <v>0</v>
      </c>
      <c r="Z168" s="63">
        <f t="shared" si="175"/>
        <v>0</v>
      </c>
      <c r="AB168" s="64">
        <f t="shared" si="159"/>
        <v>0</v>
      </c>
      <c r="AC168" s="63">
        <f t="shared" si="160"/>
        <v>0</v>
      </c>
      <c r="AD168" s="65">
        <f t="shared" si="161"/>
        <v>0</v>
      </c>
    </row>
    <row r="169" spans="1:30" x14ac:dyDescent="0.2">
      <c r="A169" s="249"/>
      <c r="B169" s="249">
        <f>ship6</f>
        <v>0</v>
      </c>
      <c r="C169" s="72" t="s">
        <v>17</v>
      </c>
      <c r="D169" s="56">
        <f t="shared" ref="D169:Z169" si="176">SUM(fuel_type1_scrubbed_ship6*(ship6_fuel_type1+IF(D$2&lt;=global0.5,D$68*ship6_fuel_type1_added,ship6_fuel_type1_added))*D$4,fuel_type2_scrubbed_ship6*(ship6_fuel_type2+IF(D$2&lt;=global0.5,D$68*ship6_fuel_type2_added,ship6_fuel_type2_added))*D$16,fuel_type3_scrubbed_ship6*(ship6_fuel_type3+IF(D$2&lt;=global0.5,D$68*ship6_fuel_type3_added,ship6_fuel_type3_added))*D$28+fuel_type4_scrubbed_ship6*(ship6_fuel_type4+IF(D$2&lt;=global0.5,D$68*ship6_fuel_type4_added,ship6_fuel_type4_added))*D$40)+IF(D$2&lt;global0.5,opex_fixed_ship6+D$68*opex_variable_ship6,opex_fixed_ship6+opex_variable_ship6)</f>
        <v>0</v>
      </c>
      <c r="E169" s="56">
        <f t="shared" si="176"/>
        <v>0</v>
      </c>
      <c r="F169" s="56">
        <f t="shared" si="176"/>
        <v>0</v>
      </c>
      <c r="G169" s="56">
        <f t="shared" si="176"/>
        <v>0</v>
      </c>
      <c r="H169" s="56">
        <f t="shared" si="176"/>
        <v>0</v>
      </c>
      <c r="I169" s="56">
        <f t="shared" si="176"/>
        <v>0</v>
      </c>
      <c r="J169" s="56">
        <f t="shared" si="176"/>
        <v>0</v>
      </c>
      <c r="K169" s="56">
        <f t="shared" si="176"/>
        <v>0</v>
      </c>
      <c r="L169" s="56">
        <f t="shared" si="176"/>
        <v>0</v>
      </c>
      <c r="M169" s="56">
        <f t="shared" si="176"/>
        <v>0</v>
      </c>
      <c r="N169" s="56">
        <f t="shared" si="176"/>
        <v>0</v>
      </c>
      <c r="O169" s="56">
        <f t="shared" si="176"/>
        <v>0</v>
      </c>
      <c r="P169" s="56">
        <f t="shared" si="176"/>
        <v>0</v>
      </c>
      <c r="Q169" s="56">
        <f t="shared" si="176"/>
        <v>0</v>
      </c>
      <c r="R169" s="56">
        <f t="shared" si="176"/>
        <v>0</v>
      </c>
      <c r="S169" s="56">
        <f t="shared" si="176"/>
        <v>0</v>
      </c>
      <c r="T169" s="56">
        <f t="shared" si="176"/>
        <v>0</v>
      </c>
      <c r="U169" s="56">
        <f t="shared" si="176"/>
        <v>0</v>
      </c>
      <c r="V169" s="56">
        <f t="shared" si="176"/>
        <v>0</v>
      </c>
      <c r="W169" s="56">
        <f t="shared" si="176"/>
        <v>0</v>
      </c>
      <c r="X169" s="56">
        <f t="shared" si="176"/>
        <v>0</v>
      </c>
      <c r="Y169" s="56">
        <f t="shared" si="176"/>
        <v>0</v>
      </c>
      <c r="Z169" s="56">
        <f t="shared" si="176"/>
        <v>0</v>
      </c>
      <c r="AB169" s="66">
        <f t="shared" si="159"/>
        <v>0</v>
      </c>
      <c r="AC169" s="56">
        <f t="shared" si="160"/>
        <v>0</v>
      </c>
      <c r="AD169" s="67">
        <f t="shared" si="161"/>
        <v>0</v>
      </c>
    </row>
    <row r="170" spans="1:30" x14ac:dyDescent="0.2">
      <c r="A170" s="249"/>
      <c r="B170" s="249"/>
      <c r="C170" s="72" t="s">
        <v>18</v>
      </c>
      <c r="D170" s="60">
        <f t="shared" ref="D170:Z170" si="177">SUM(fuel_type1_scrubbed_ship6*(ship6_fuel_type1+IF(D$2&lt;=global0.5,D$68*ship6_fuel_type1_added,ship6_fuel_type1_added))*D$8,fuel_type2_scrubbed_ship6*(ship6_fuel_type2+IF(D$2&lt;=global0.5,D$68*ship6_fuel_type2_added,ship6_fuel_type2_added))*D$20,fuel_type3_scrubbed_ship6*(ship6_fuel_type3+IF(D$2&lt;=global0.5,D$68*ship6_fuel_type3_added,ship6_fuel_type3_added))*D$32+fuel_type4_scrubbed_ship6*(ship6_fuel_type4+IF(D$2&lt;=global0.5,D$68*ship6_fuel_type4_added,ship6_fuel_type4_added))*D$44)+IF(D$2&lt;global0.5,opex_fixed_ship6+D$68*opex_variable_ship6,opex_fixed_ship6+opex_variable_ship6)</f>
        <v>0</v>
      </c>
      <c r="E170" s="60">
        <f t="shared" si="177"/>
        <v>0</v>
      </c>
      <c r="F170" s="60">
        <f t="shared" si="177"/>
        <v>0</v>
      </c>
      <c r="G170" s="60">
        <f t="shared" si="177"/>
        <v>0</v>
      </c>
      <c r="H170" s="60">
        <f t="shared" si="177"/>
        <v>0</v>
      </c>
      <c r="I170" s="60">
        <f t="shared" si="177"/>
        <v>0</v>
      </c>
      <c r="J170" s="60">
        <f t="shared" si="177"/>
        <v>0</v>
      </c>
      <c r="K170" s="60">
        <f t="shared" si="177"/>
        <v>0</v>
      </c>
      <c r="L170" s="60">
        <f t="shared" si="177"/>
        <v>0</v>
      </c>
      <c r="M170" s="60">
        <f t="shared" si="177"/>
        <v>0</v>
      </c>
      <c r="N170" s="60">
        <f t="shared" si="177"/>
        <v>0</v>
      </c>
      <c r="O170" s="60">
        <f t="shared" si="177"/>
        <v>0</v>
      </c>
      <c r="P170" s="60">
        <f t="shared" si="177"/>
        <v>0</v>
      </c>
      <c r="Q170" s="60">
        <f t="shared" si="177"/>
        <v>0</v>
      </c>
      <c r="R170" s="60">
        <f t="shared" si="177"/>
        <v>0</v>
      </c>
      <c r="S170" s="60">
        <f t="shared" si="177"/>
        <v>0</v>
      </c>
      <c r="T170" s="60">
        <f t="shared" si="177"/>
        <v>0</v>
      </c>
      <c r="U170" s="60">
        <f t="shared" si="177"/>
        <v>0</v>
      </c>
      <c r="V170" s="60">
        <f t="shared" si="177"/>
        <v>0</v>
      </c>
      <c r="W170" s="60">
        <f t="shared" si="177"/>
        <v>0</v>
      </c>
      <c r="X170" s="60">
        <f t="shared" si="177"/>
        <v>0</v>
      </c>
      <c r="Y170" s="60">
        <f t="shared" si="177"/>
        <v>0</v>
      </c>
      <c r="Z170" s="60">
        <f t="shared" si="177"/>
        <v>0</v>
      </c>
      <c r="AB170" s="61">
        <f t="shared" si="159"/>
        <v>0</v>
      </c>
      <c r="AC170" s="60">
        <f t="shared" si="160"/>
        <v>0</v>
      </c>
      <c r="AD170" s="62">
        <f t="shared" si="161"/>
        <v>0</v>
      </c>
    </row>
    <row r="171" spans="1:30" ht="13.5" thickBot="1" x14ac:dyDescent="0.25">
      <c r="A171" s="249"/>
      <c r="B171" s="249"/>
      <c r="C171" s="72" t="s">
        <v>19</v>
      </c>
      <c r="D171" s="63">
        <f t="shared" ref="D171:Z171" si="178">SUM(fuel_type1_scrubbed_ship6*(ship6_fuel_type1+IF(D$2&lt;=global0.5,D$68*ship6_fuel_type1_added,ship6_fuel_type1_added))*D$12,fuel_type2_scrubbed_ship6*(ship6_fuel_type2+IF(D$2&lt;=global0.5,D$68*ship6_fuel_type2_added,ship6_fuel_type2_added))*D$24,fuel_type3_scrubbed_ship6*(ship6_fuel_type3+IF(D$2&lt;=global0.5,D$68*ship6_fuel_type3_added,ship6_fuel_type3_added))*D$36+fuel_type4_scrubbed_ship6*(ship6_fuel_type4+IF(D$2&lt;=global0.5,D$68*ship6_fuel_type4_added,ship6_fuel_type4_added))*D$48)+IF(D$2&lt;global0.5,opex_fixed_ship6+D$68*opex_variable_ship6,opex_fixed_ship6+opex_variable_ship6)</f>
        <v>0</v>
      </c>
      <c r="E171" s="63">
        <f t="shared" si="178"/>
        <v>0</v>
      </c>
      <c r="F171" s="63">
        <f t="shared" si="178"/>
        <v>0</v>
      </c>
      <c r="G171" s="63">
        <f t="shared" si="178"/>
        <v>0</v>
      </c>
      <c r="H171" s="63">
        <f t="shared" si="178"/>
        <v>0</v>
      </c>
      <c r="I171" s="63">
        <f t="shared" si="178"/>
        <v>0</v>
      </c>
      <c r="J171" s="63">
        <f t="shared" si="178"/>
        <v>0</v>
      </c>
      <c r="K171" s="63">
        <f t="shared" si="178"/>
        <v>0</v>
      </c>
      <c r="L171" s="63">
        <f t="shared" si="178"/>
        <v>0</v>
      </c>
      <c r="M171" s="63">
        <f t="shared" si="178"/>
        <v>0</v>
      </c>
      <c r="N171" s="63">
        <f t="shared" si="178"/>
        <v>0</v>
      </c>
      <c r="O171" s="63">
        <f t="shared" si="178"/>
        <v>0</v>
      </c>
      <c r="P171" s="63">
        <f t="shared" si="178"/>
        <v>0</v>
      </c>
      <c r="Q171" s="63">
        <f t="shared" si="178"/>
        <v>0</v>
      </c>
      <c r="R171" s="63">
        <f t="shared" si="178"/>
        <v>0</v>
      </c>
      <c r="S171" s="63">
        <f t="shared" si="178"/>
        <v>0</v>
      </c>
      <c r="T171" s="63">
        <f t="shared" si="178"/>
        <v>0</v>
      </c>
      <c r="U171" s="63">
        <f t="shared" si="178"/>
        <v>0</v>
      </c>
      <c r="V171" s="63">
        <f t="shared" si="178"/>
        <v>0</v>
      </c>
      <c r="W171" s="63">
        <f t="shared" si="178"/>
        <v>0</v>
      </c>
      <c r="X171" s="63">
        <f t="shared" si="178"/>
        <v>0</v>
      </c>
      <c r="Y171" s="63">
        <f t="shared" si="178"/>
        <v>0</v>
      </c>
      <c r="Z171" s="63">
        <f t="shared" si="178"/>
        <v>0</v>
      </c>
      <c r="AB171" s="68">
        <f t="shared" si="159"/>
        <v>0</v>
      </c>
      <c r="AC171" s="69">
        <f t="shared" si="160"/>
        <v>0</v>
      </c>
      <c r="AD171" s="70">
        <f t="shared" si="161"/>
        <v>0</v>
      </c>
    </row>
    <row r="172" spans="1:30" x14ac:dyDescent="0.2">
      <c r="A172" s="244" t="s">
        <v>39</v>
      </c>
      <c r="B172" s="244">
        <f>ship1</f>
        <v>0</v>
      </c>
      <c r="C172" s="71" t="s">
        <v>17</v>
      </c>
      <c r="D172" s="56">
        <f t="shared" ref="D172:Z172" si="179">IF(D$2&lt;global0.5,D$59*SUM((1-fuel_type1_scrubbed_ship1)*(ship1_fuel_type1+IF(D$2&lt;=global0.5,D$58*ship1_fuel_type1_added,ship1_fuel_type1_added))*D$4,(1-fuel_type2_scrubbed_ship1)*(ship1_fuel_type2+IF(D$2&lt;=global0.5,D$58*ship1_fuel_type2_added,ship1_fuel_type2_added))*D$16,(1-fuel_type3_scrubbed_ship1)*(ship1_fuel_type3+IF(D$2&lt;=global0.5,D$58*ship1_fuel_type3_added,ship1_fuel_type3_added))*D$28+(1-fuel_type4_scrubbed_ship1)*(ship1_fuel_type4+IF(D$2&lt;=global0.5,D$58*ship1_fuel_type4_added,ship1_fuel_type4_added))*D$40),D$59*(SUM((1-fuel_type1_scrubbed_ship1)*(ship1_fuel_type1+IF(D$2&lt;=global0.5,D$58*ship1_fuel_type1_added,ship1_fuel_type1_added))*fuel_type1_cal0.5*D$6,(1-fuel_type2_scrubbed_ship1)*(ship1_fuel_type2+IF(D$2&lt;=global0.5,D$58*ship1_fuel_type2_added,ship1_fuel_type2_added))*fuel_type2_cal0.5*D$18,(1-fuel_type3_scrubbed_ship1)*(ship1_fuel_type3+IF(D$2&lt;=global0.5,D$58*ship1_fuel_type3_added,ship1_fuel_type3_added))*fuel_type3_cal0.5*D$30+(1-fuel_type4_scrubbed_ship1)*fuel_type4_cal0.5*(ship1_fuel_type4+IF(D$2&lt;=global0.5,D$58*ship1_fuel_type4_added,ship1_fuel_type4_added))*D$42)))</f>
        <v>0</v>
      </c>
      <c r="E172" s="56">
        <f t="shared" si="179"/>
        <v>0</v>
      </c>
      <c r="F172" s="56">
        <f t="shared" si="179"/>
        <v>0</v>
      </c>
      <c r="G172" s="56">
        <f t="shared" si="179"/>
        <v>0</v>
      </c>
      <c r="H172" s="56">
        <f t="shared" si="179"/>
        <v>0</v>
      </c>
      <c r="I172" s="56">
        <f t="shared" si="179"/>
        <v>0</v>
      </c>
      <c r="J172" s="56">
        <f t="shared" si="179"/>
        <v>0</v>
      </c>
      <c r="K172" s="56">
        <f t="shared" si="179"/>
        <v>0</v>
      </c>
      <c r="L172" s="56">
        <f t="shared" si="179"/>
        <v>0</v>
      </c>
      <c r="M172" s="56">
        <f t="shared" si="179"/>
        <v>0</v>
      </c>
      <c r="N172" s="56">
        <f t="shared" si="179"/>
        <v>0</v>
      </c>
      <c r="O172" s="56">
        <f t="shared" si="179"/>
        <v>0</v>
      </c>
      <c r="P172" s="56">
        <f t="shared" si="179"/>
        <v>0</v>
      </c>
      <c r="Q172" s="56">
        <f t="shared" si="179"/>
        <v>0</v>
      </c>
      <c r="R172" s="56">
        <f t="shared" si="179"/>
        <v>0</v>
      </c>
      <c r="S172" s="56">
        <f t="shared" si="179"/>
        <v>0</v>
      </c>
      <c r="T172" s="56">
        <f t="shared" si="179"/>
        <v>0</v>
      </c>
      <c r="U172" s="56">
        <f t="shared" si="179"/>
        <v>0</v>
      </c>
      <c r="V172" s="56">
        <f t="shared" si="179"/>
        <v>0</v>
      </c>
      <c r="W172" s="56">
        <f t="shared" si="179"/>
        <v>0</v>
      </c>
      <c r="X172" s="56">
        <f t="shared" si="179"/>
        <v>0</v>
      </c>
      <c r="Y172" s="56">
        <f t="shared" si="179"/>
        <v>0</v>
      </c>
      <c r="Z172" s="56">
        <f t="shared" si="179"/>
        <v>0</v>
      </c>
      <c r="AB172" s="57">
        <f t="shared" si="159"/>
        <v>0</v>
      </c>
      <c r="AC172" s="58">
        <f t="shared" si="160"/>
        <v>0</v>
      </c>
      <c r="AD172" s="59">
        <f t="shared" si="161"/>
        <v>0</v>
      </c>
    </row>
    <row r="173" spans="1:30" x14ac:dyDescent="0.2">
      <c r="A173" s="244"/>
      <c r="B173" s="244"/>
      <c r="C173" s="71" t="s">
        <v>18</v>
      </c>
      <c r="D173" s="60">
        <f t="shared" ref="D173:Z173" si="180">IF(D$2&lt;global0.5,D$59*SUM((1-fuel_type1_scrubbed_ship1)*(ship1_fuel_type1+IF(D$2&lt;=global0.5,D$58*ship1_fuel_type1_added,ship1_fuel_type1_added))*D$8,(1-fuel_type2_scrubbed_ship1)*(ship1_fuel_type2+IF(D$2&lt;=global0.5,D$58*ship1_fuel_type2_added,ship1_fuel_type2_added))*D$20,(1-fuel_type3_scrubbed_ship1)*(ship1_fuel_type3+IF(D$2&lt;=global0.5,D$58*ship1_fuel_type3_added,ship1_fuel_type3_added))*D$32+(1-fuel_type4_scrubbed_ship1)*(ship1_fuel_type4+IF(D$2&lt;=global0.5,D$58*ship1_fuel_type4_added,ship1_fuel_type4_added))*D$44),D$59*(SUM((1-fuel_type1_scrubbed_ship1)*(ship1_fuel_type1+IF(D$2&lt;=global0.5,D$58*ship1_fuel_type1_added,ship1_fuel_type1_added))*fuel_type1_cal0.5*D$10,(1-fuel_type2_scrubbed_ship1)*(ship1_fuel_type2+IF(D$2&lt;=global0.5,D$58*ship1_fuel_type2_added,ship1_fuel_type2_added))*fuel_type2_cal0.5*D$22,(1-fuel_type3_scrubbed_ship1)*(ship1_fuel_type3+IF(D$2&lt;=global0.5,D$58*ship1_fuel_type3_added,ship1_fuel_type3_added))*fuel_type3_cal0.5*D$34+(1-fuel_type4_scrubbed_ship1)*fuel_type4_cal0.5*(ship1_fuel_type4+IF(D$2&lt;=global0.5,D$58*ship1_fuel_type4_added,ship1_fuel_type4_added))*D$46)))</f>
        <v>0</v>
      </c>
      <c r="E173" s="60">
        <f t="shared" si="180"/>
        <v>0</v>
      </c>
      <c r="F173" s="60">
        <f t="shared" si="180"/>
        <v>0</v>
      </c>
      <c r="G173" s="60">
        <f t="shared" si="180"/>
        <v>0</v>
      </c>
      <c r="H173" s="60">
        <f t="shared" si="180"/>
        <v>0</v>
      </c>
      <c r="I173" s="60">
        <f t="shared" si="180"/>
        <v>0</v>
      </c>
      <c r="J173" s="60">
        <f t="shared" si="180"/>
        <v>0</v>
      </c>
      <c r="K173" s="60">
        <f t="shared" si="180"/>
        <v>0</v>
      </c>
      <c r="L173" s="60">
        <f t="shared" si="180"/>
        <v>0</v>
      </c>
      <c r="M173" s="60">
        <f t="shared" si="180"/>
        <v>0</v>
      </c>
      <c r="N173" s="60">
        <f t="shared" si="180"/>
        <v>0</v>
      </c>
      <c r="O173" s="60">
        <f t="shared" si="180"/>
        <v>0</v>
      </c>
      <c r="P173" s="60">
        <f t="shared" si="180"/>
        <v>0</v>
      </c>
      <c r="Q173" s="60">
        <f t="shared" si="180"/>
        <v>0</v>
      </c>
      <c r="R173" s="60">
        <f t="shared" si="180"/>
        <v>0</v>
      </c>
      <c r="S173" s="60">
        <f t="shared" si="180"/>
        <v>0</v>
      </c>
      <c r="T173" s="60">
        <f t="shared" si="180"/>
        <v>0</v>
      </c>
      <c r="U173" s="60">
        <f t="shared" si="180"/>
        <v>0</v>
      </c>
      <c r="V173" s="60">
        <f t="shared" si="180"/>
        <v>0</v>
      </c>
      <c r="W173" s="60">
        <f t="shared" si="180"/>
        <v>0</v>
      </c>
      <c r="X173" s="60">
        <f t="shared" si="180"/>
        <v>0</v>
      </c>
      <c r="Y173" s="60">
        <f t="shared" si="180"/>
        <v>0</v>
      </c>
      <c r="Z173" s="60">
        <f t="shared" si="180"/>
        <v>0</v>
      </c>
      <c r="AB173" s="61">
        <f t="shared" si="159"/>
        <v>0</v>
      </c>
      <c r="AC173" s="60">
        <f t="shared" si="160"/>
        <v>0</v>
      </c>
      <c r="AD173" s="62">
        <f t="shared" si="161"/>
        <v>0</v>
      </c>
    </row>
    <row r="174" spans="1:30" x14ac:dyDescent="0.2">
      <c r="A174" s="244"/>
      <c r="B174" s="244"/>
      <c r="C174" s="71" t="s">
        <v>19</v>
      </c>
      <c r="D174" s="63">
        <f t="shared" ref="D174:Z174" si="181">IF(D$2&lt;global0.5,D$59*SUM((1-fuel_type1_scrubbed_ship1)*(ship1_fuel_type1+IF(D$2&lt;=global0.5,D$58*ship1_fuel_type1_added,ship1_fuel_type1_added))*D$12,(1-fuel_type2_scrubbed_ship1)*(ship1_fuel_type2+IF(D$2&lt;=global0.5,D$58*ship1_fuel_type2_added,ship1_fuel_type2_added))*D$24,(1-fuel_type3_scrubbed_ship1)*(ship1_fuel_type3+IF(D$2&lt;=global0.5,D$58*ship1_fuel_type3_added,ship1_fuel_type3_added))*D$36+(1-fuel_type4_scrubbed_ship1)*(ship1_fuel_type4+IF(D$2&lt;=global0.5,D$58*ship1_fuel_type4_added,ship1_fuel_type4_added))*D$48),D$59*(SUM((1-fuel_type1_scrubbed_ship1)*(ship1_fuel_type1+IF(D$2&lt;=global0.5,D$58*ship1_fuel_type1_added,ship1_fuel_type1_added))*fuel_type1_cal0.5*D$14,(1-fuel_type2_scrubbed_ship1)*(ship1_fuel_type2+IF(D$2&lt;=global0.5,D$58*ship1_fuel_type2_added,ship1_fuel_type2_added))*fuel_type2_cal0.5*D$26,(1-fuel_type3_scrubbed_ship1)*(ship1_fuel_type3+IF(D$2&lt;=global0.5,D$58*ship1_fuel_type3_added,ship1_fuel_type3_added))*fuel_type3_cal0.5*D$38+(1-fuel_type4_scrubbed_ship1)*fuel_type4_cal0.5*(ship1_fuel_type4+IF(D$2&lt;=global0.5,D$58*ship1_fuel_type4_added,ship1_fuel_type4_added))*D$50)))</f>
        <v>0</v>
      </c>
      <c r="E174" s="63">
        <f t="shared" si="181"/>
        <v>0</v>
      </c>
      <c r="F174" s="63">
        <f t="shared" si="181"/>
        <v>0</v>
      </c>
      <c r="G174" s="63">
        <f t="shared" si="181"/>
        <v>0</v>
      </c>
      <c r="H174" s="63">
        <f t="shared" si="181"/>
        <v>0</v>
      </c>
      <c r="I174" s="63">
        <f t="shared" si="181"/>
        <v>0</v>
      </c>
      <c r="J174" s="63">
        <f t="shared" si="181"/>
        <v>0</v>
      </c>
      <c r="K174" s="63">
        <f t="shared" si="181"/>
        <v>0</v>
      </c>
      <c r="L174" s="63">
        <f t="shared" si="181"/>
        <v>0</v>
      </c>
      <c r="M174" s="63">
        <f t="shared" si="181"/>
        <v>0</v>
      </c>
      <c r="N174" s="63">
        <f t="shared" si="181"/>
        <v>0</v>
      </c>
      <c r="O174" s="63">
        <f t="shared" si="181"/>
        <v>0</v>
      </c>
      <c r="P174" s="63">
        <f t="shared" si="181"/>
        <v>0</v>
      </c>
      <c r="Q174" s="63">
        <f t="shared" si="181"/>
        <v>0</v>
      </c>
      <c r="R174" s="63">
        <f t="shared" si="181"/>
        <v>0</v>
      </c>
      <c r="S174" s="63">
        <f t="shared" si="181"/>
        <v>0</v>
      </c>
      <c r="T174" s="63">
        <f t="shared" si="181"/>
        <v>0</v>
      </c>
      <c r="U174" s="63">
        <f t="shared" si="181"/>
        <v>0</v>
      </c>
      <c r="V174" s="63">
        <f t="shared" si="181"/>
        <v>0</v>
      </c>
      <c r="W174" s="63">
        <f t="shared" si="181"/>
        <v>0</v>
      </c>
      <c r="X174" s="63">
        <f t="shared" si="181"/>
        <v>0</v>
      </c>
      <c r="Y174" s="63">
        <f t="shared" si="181"/>
        <v>0</v>
      </c>
      <c r="Z174" s="63">
        <f t="shared" si="181"/>
        <v>0</v>
      </c>
      <c r="AB174" s="64">
        <f t="shared" si="159"/>
        <v>0</v>
      </c>
      <c r="AC174" s="63">
        <f t="shared" si="160"/>
        <v>0</v>
      </c>
      <c r="AD174" s="65">
        <f t="shared" si="161"/>
        <v>0</v>
      </c>
    </row>
    <row r="175" spans="1:30" x14ac:dyDescent="0.2">
      <c r="A175" s="244"/>
      <c r="B175" s="244">
        <f>ship2</f>
        <v>0</v>
      </c>
      <c r="C175" s="71" t="s">
        <v>17</v>
      </c>
      <c r="D175" s="56">
        <f t="shared" ref="D175:Z175" si="182">IF(D$2&lt;global0.5,D$61*SUM((1-fuel_type1_scrubbed_ship2)*(ship2_fuel_type1+IF(D$2&lt;=global0.5,D$60*ship2_fuel_type1_added,ship2_fuel_type1_added))*D$4,(1-fuel_type2_scrubbed_ship2)*(ship2_fuel_type2+IF(D$2&lt;=global0.5,D$60*ship2_fuel_type2_added,ship2_fuel_type2_added))*D$16,(1-fuel_type3_scrubbed_ship2)*(ship2_fuel_type3+IF(D$2&lt;=global0.5,D$60*ship2_fuel_type3_added,ship2_fuel_type3_added))*D$28+(1-fuel_type4_scrubbed_ship2)*(ship2_fuel_type4+IF(D$2&lt;=global0.5,D$60*ship2_fuel_type4_added,ship2_fuel_type4_added))*D$40),D$61*(SUM((1-fuel_type1_scrubbed_ship2)*(ship2_fuel_type1+IF(D$2&lt;=global0.5,D$60*ship2_fuel_type1_added,ship2_fuel_type1_added))*fuel_type1_cal0.5*D$6,(1-fuel_type2_scrubbed_ship2)*(ship2_fuel_type2+IF(D$2&lt;=global0.5,D$60*ship2_fuel_type2_added,ship2_fuel_type2_added))*fuel_type2_cal0.5*D$18,(1-fuel_type3_scrubbed_ship2)*(ship2_fuel_type3+IF(D$2&lt;=global0.5,D$60*ship2_fuel_type3_added,ship2_fuel_type3_added))*fuel_type3_cal0.5*D$30+(1-fuel_type4_scrubbed_ship2)*fuel_type4_cal0.5*(ship2_fuel_type4+IF(D$2&lt;=global0.5,D$60*ship2_fuel_type4_added,ship2_fuel_type4_added))*D$42)))</f>
        <v>0</v>
      </c>
      <c r="E175" s="56">
        <f t="shared" si="182"/>
        <v>0</v>
      </c>
      <c r="F175" s="56">
        <f t="shared" si="182"/>
        <v>0</v>
      </c>
      <c r="G175" s="56">
        <f t="shared" si="182"/>
        <v>0</v>
      </c>
      <c r="H175" s="56">
        <f t="shared" si="182"/>
        <v>0</v>
      </c>
      <c r="I175" s="56">
        <f t="shared" si="182"/>
        <v>0</v>
      </c>
      <c r="J175" s="56">
        <f t="shared" si="182"/>
        <v>0</v>
      </c>
      <c r="K175" s="56">
        <f t="shared" si="182"/>
        <v>0</v>
      </c>
      <c r="L175" s="56">
        <f t="shared" si="182"/>
        <v>0</v>
      </c>
      <c r="M175" s="56">
        <f t="shared" si="182"/>
        <v>0</v>
      </c>
      <c r="N175" s="56">
        <f t="shared" si="182"/>
        <v>0</v>
      </c>
      <c r="O175" s="56">
        <f t="shared" si="182"/>
        <v>0</v>
      </c>
      <c r="P175" s="56">
        <f t="shared" si="182"/>
        <v>0</v>
      </c>
      <c r="Q175" s="56">
        <f t="shared" si="182"/>
        <v>0</v>
      </c>
      <c r="R175" s="56">
        <f t="shared" si="182"/>
        <v>0</v>
      </c>
      <c r="S175" s="56">
        <f t="shared" si="182"/>
        <v>0</v>
      </c>
      <c r="T175" s="56">
        <f t="shared" si="182"/>
        <v>0</v>
      </c>
      <c r="U175" s="56">
        <f t="shared" si="182"/>
        <v>0</v>
      </c>
      <c r="V175" s="56">
        <f t="shared" si="182"/>
        <v>0</v>
      </c>
      <c r="W175" s="56">
        <f t="shared" si="182"/>
        <v>0</v>
      </c>
      <c r="X175" s="56">
        <f t="shared" si="182"/>
        <v>0</v>
      </c>
      <c r="Y175" s="56">
        <f t="shared" si="182"/>
        <v>0</v>
      </c>
      <c r="Z175" s="56">
        <f t="shared" si="182"/>
        <v>0</v>
      </c>
      <c r="AB175" s="66">
        <f t="shared" si="159"/>
        <v>0</v>
      </c>
      <c r="AC175" s="56">
        <f t="shared" si="160"/>
        <v>0</v>
      </c>
      <c r="AD175" s="67">
        <f t="shared" si="161"/>
        <v>0</v>
      </c>
    </row>
    <row r="176" spans="1:30" x14ac:dyDescent="0.2">
      <c r="A176" s="244"/>
      <c r="B176" s="244"/>
      <c r="C176" s="71" t="s">
        <v>18</v>
      </c>
      <c r="D176" s="60">
        <f t="shared" ref="D176:Z176" si="183">IF(D$2&lt;global0.5,D$61*SUM((1-fuel_type1_scrubbed_ship2)*(ship2_fuel_type1+IF(D$2&lt;=global0.5,D$60*ship2_fuel_type1_added,ship2_fuel_type1_added))*D$8,(1-fuel_type2_scrubbed_ship2)*(ship2_fuel_type2+IF(D$2&lt;=global0.5,D$60*ship2_fuel_type2_added,ship2_fuel_type2_added))*D$20,(1-fuel_type3_scrubbed_ship2)*(ship2_fuel_type3+IF(D$2&lt;=global0.5,D$60*ship2_fuel_type3_added,ship2_fuel_type3_added))*D$32+(1-fuel_type4_scrubbed_ship2)*(ship2_fuel_type4+IF(D$2&lt;=global0.5,D$60*ship2_fuel_type4_added,ship2_fuel_type4_added))*D$44),D$61*(SUM((1-fuel_type1_scrubbed_ship2)*(ship2_fuel_type1+IF(D$2&lt;=global0.5,D$60*ship2_fuel_type1_added,ship2_fuel_type1_added))*fuel_type1_cal0.5*D$10,(1-fuel_type2_scrubbed_ship2)*(ship2_fuel_type2+IF(D$2&lt;=global0.5,D$60*ship2_fuel_type2_added,ship2_fuel_type2_added))*fuel_type2_cal0.5*D$22,(1-fuel_type3_scrubbed_ship2)*(ship2_fuel_type3+IF(D$2&lt;=global0.5,D$60*ship2_fuel_type3_added,ship2_fuel_type3_added))*fuel_type3_cal0.5*D$34+(1-fuel_type4_scrubbed_ship2)*fuel_type4_cal0.5*(ship2_fuel_type4+IF(D$2&lt;=global0.5,D$60*ship2_fuel_type4_added,ship2_fuel_type4_added))*D$46)))</f>
        <v>0</v>
      </c>
      <c r="E176" s="60">
        <f t="shared" si="183"/>
        <v>0</v>
      </c>
      <c r="F176" s="60">
        <f t="shared" si="183"/>
        <v>0</v>
      </c>
      <c r="G176" s="60">
        <f t="shared" si="183"/>
        <v>0</v>
      </c>
      <c r="H176" s="60">
        <f t="shared" si="183"/>
        <v>0</v>
      </c>
      <c r="I176" s="60">
        <f t="shared" si="183"/>
        <v>0</v>
      </c>
      <c r="J176" s="60">
        <f t="shared" si="183"/>
        <v>0</v>
      </c>
      <c r="K176" s="60">
        <f t="shared" si="183"/>
        <v>0</v>
      </c>
      <c r="L176" s="60">
        <f t="shared" si="183"/>
        <v>0</v>
      </c>
      <c r="M176" s="60">
        <f t="shared" si="183"/>
        <v>0</v>
      </c>
      <c r="N176" s="60">
        <f t="shared" si="183"/>
        <v>0</v>
      </c>
      <c r="O176" s="60">
        <f t="shared" si="183"/>
        <v>0</v>
      </c>
      <c r="P176" s="60">
        <f t="shared" si="183"/>
        <v>0</v>
      </c>
      <c r="Q176" s="60">
        <f t="shared" si="183"/>
        <v>0</v>
      </c>
      <c r="R176" s="60">
        <f t="shared" si="183"/>
        <v>0</v>
      </c>
      <c r="S176" s="60">
        <f t="shared" si="183"/>
        <v>0</v>
      </c>
      <c r="T176" s="60">
        <f t="shared" si="183"/>
        <v>0</v>
      </c>
      <c r="U176" s="60">
        <f t="shared" si="183"/>
        <v>0</v>
      </c>
      <c r="V176" s="60">
        <f t="shared" si="183"/>
        <v>0</v>
      </c>
      <c r="W176" s="60">
        <f t="shared" si="183"/>
        <v>0</v>
      </c>
      <c r="X176" s="60">
        <f t="shared" si="183"/>
        <v>0</v>
      </c>
      <c r="Y176" s="60">
        <f t="shared" si="183"/>
        <v>0</v>
      </c>
      <c r="Z176" s="60">
        <f t="shared" si="183"/>
        <v>0</v>
      </c>
      <c r="AB176" s="61">
        <f t="shared" si="159"/>
        <v>0</v>
      </c>
      <c r="AC176" s="60">
        <f t="shared" si="160"/>
        <v>0</v>
      </c>
      <c r="AD176" s="62">
        <f t="shared" si="161"/>
        <v>0</v>
      </c>
    </row>
    <row r="177" spans="1:30" x14ac:dyDescent="0.2">
      <c r="A177" s="244"/>
      <c r="B177" s="244"/>
      <c r="C177" s="71" t="s">
        <v>19</v>
      </c>
      <c r="D177" s="63">
        <f t="shared" ref="D177:Z177" si="184">IF(D$2&lt;global0.5,D$61*SUM((1-fuel_type1_scrubbed_ship2)*(ship2_fuel_type1+IF(D$2&lt;=global0.5,D$60*ship2_fuel_type1_added,ship2_fuel_type1_added))*D$12,(1-fuel_type2_scrubbed_ship2)*(ship2_fuel_type2+IF(D$2&lt;=global0.5,D$60*ship2_fuel_type2_added,ship2_fuel_type2_added))*D$24,(1-fuel_type3_scrubbed_ship2)*(ship2_fuel_type3+IF(D$2&lt;=global0.5,D$60*ship2_fuel_type3_added,ship2_fuel_type3_added))*D$36+(1-fuel_type4_scrubbed_ship2)*(ship2_fuel_type4+IF(D$2&lt;=global0.5,D$60*ship2_fuel_type4_added,ship2_fuel_type4_added))*D$48),D$61*(SUM((1-fuel_type1_scrubbed_ship2)*(ship2_fuel_type1+IF(D$2&lt;=global0.5,D$60*ship2_fuel_type1_added,ship2_fuel_type1_added))*fuel_type1_cal0.5*D$14,(1-fuel_type2_scrubbed_ship2)*(ship2_fuel_type2+IF(D$2&lt;=global0.5,D$60*ship2_fuel_type2_added,ship2_fuel_type2_added))*fuel_type2_cal0.5*D$26,(1-fuel_type3_scrubbed_ship2)*(ship2_fuel_type3+IF(D$2&lt;=global0.5,D$60*ship2_fuel_type3_added,ship2_fuel_type3_added))*fuel_type3_cal0.5*D$38+(1-fuel_type4_scrubbed_ship2)*fuel_type4_cal0.5*(ship2_fuel_type4+IF(D$2&lt;=global0.5,D$60*ship2_fuel_type4_added,ship2_fuel_type4_added))*D$50)))</f>
        <v>0</v>
      </c>
      <c r="E177" s="63">
        <f t="shared" si="184"/>
        <v>0</v>
      </c>
      <c r="F177" s="63">
        <f t="shared" si="184"/>
        <v>0</v>
      </c>
      <c r="G177" s="63">
        <f t="shared" si="184"/>
        <v>0</v>
      </c>
      <c r="H177" s="63">
        <f t="shared" si="184"/>
        <v>0</v>
      </c>
      <c r="I177" s="63">
        <f t="shared" si="184"/>
        <v>0</v>
      </c>
      <c r="J177" s="63">
        <f t="shared" si="184"/>
        <v>0</v>
      </c>
      <c r="K177" s="63">
        <f t="shared" si="184"/>
        <v>0</v>
      </c>
      <c r="L177" s="63">
        <f t="shared" si="184"/>
        <v>0</v>
      </c>
      <c r="M177" s="63">
        <f t="shared" si="184"/>
        <v>0</v>
      </c>
      <c r="N177" s="63">
        <f t="shared" si="184"/>
        <v>0</v>
      </c>
      <c r="O177" s="63">
        <f t="shared" si="184"/>
        <v>0</v>
      </c>
      <c r="P177" s="63">
        <f t="shared" si="184"/>
        <v>0</v>
      </c>
      <c r="Q177" s="63">
        <f t="shared" si="184"/>
        <v>0</v>
      </c>
      <c r="R177" s="63">
        <f t="shared" si="184"/>
        <v>0</v>
      </c>
      <c r="S177" s="63">
        <f t="shared" si="184"/>
        <v>0</v>
      </c>
      <c r="T177" s="63">
        <f t="shared" si="184"/>
        <v>0</v>
      </c>
      <c r="U177" s="63">
        <f t="shared" si="184"/>
        <v>0</v>
      </c>
      <c r="V177" s="63">
        <f t="shared" si="184"/>
        <v>0</v>
      </c>
      <c r="W177" s="63">
        <f t="shared" si="184"/>
        <v>0</v>
      </c>
      <c r="X177" s="63">
        <f t="shared" si="184"/>
        <v>0</v>
      </c>
      <c r="Y177" s="63">
        <f t="shared" si="184"/>
        <v>0</v>
      </c>
      <c r="Z177" s="63">
        <f t="shared" si="184"/>
        <v>0</v>
      </c>
      <c r="AB177" s="64">
        <f t="shared" si="159"/>
        <v>0</v>
      </c>
      <c r="AC177" s="63">
        <f t="shared" si="160"/>
        <v>0</v>
      </c>
      <c r="AD177" s="65">
        <f t="shared" si="161"/>
        <v>0</v>
      </c>
    </row>
    <row r="178" spans="1:30" x14ac:dyDescent="0.2">
      <c r="A178" s="244"/>
      <c r="B178" s="244">
        <f>ship3</f>
        <v>0</v>
      </c>
      <c r="C178" s="71" t="s">
        <v>17</v>
      </c>
      <c r="D178" s="56">
        <f t="shared" ref="D178:Z178" si="185">IF(D$2&lt;global0.5,D$63*SUM((1-fuel_type1_scrubbed_ship3)*(ship3_fuel_type1+IF(D$2&lt;=global0.5,D$62*ship3_fuel_type1_added,ship3_fuel_type1_added))*D$4,(1-fuel_type2_scrubbed_ship3)*(ship3_fuel_type2+IF(D$2&lt;=global0.5,D$62*ship3_fuel_type2_added,ship3_fuel_type2_added))*D$16,(1-fuel_type3_scrubbed_ship3)*(ship3_fuel_type3+IF(D$2&lt;=global0.5,D$62*ship3_fuel_type3_added,ship3_fuel_type3_added))*D$28+(1-fuel_type4_scrubbed_ship3)*(ship3_fuel_type4+IF(D$2&lt;=global0.5,D$62*ship3_fuel_type4_added,ship3_fuel_type4_added))*D$40),D$63*(SUM((1-fuel_type1_scrubbed_ship3)*(ship3_fuel_type1+IF(D$2&lt;=global0.5,D$62*ship3_fuel_type1_added,ship3_fuel_type1_added))*fuel_type1_cal0.5*D$6,(1-fuel_type2_scrubbed_ship3)*(ship3_fuel_type2+IF(D$2&lt;=global0.5,D$62*ship3_fuel_type2_added,ship3_fuel_type2_added))*fuel_type2_cal0.5*D$18,(1-fuel_type3_scrubbed_ship3)*(ship3_fuel_type3+IF(D$2&lt;=global0.5,D$62*ship3_fuel_type3_added,ship3_fuel_type3_added))*fuel_type3_cal0.5*D$30+(1-fuel_type4_scrubbed_ship3)*fuel_type4_cal0.5*(ship3_fuel_type4+IF(D$2&lt;=global0.5,D$62*ship3_fuel_type4_added,ship3_fuel_type4_added))*D$42)))</f>
        <v>0</v>
      </c>
      <c r="E178" s="56">
        <f t="shared" si="185"/>
        <v>0</v>
      </c>
      <c r="F178" s="56">
        <f t="shared" si="185"/>
        <v>0</v>
      </c>
      <c r="G178" s="56">
        <f t="shared" si="185"/>
        <v>0</v>
      </c>
      <c r="H178" s="56">
        <f t="shared" si="185"/>
        <v>0</v>
      </c>
      <c r="I178" s="56">
        <f t="shared" si="185"/>
        <v>0</v>
      </c>
      <c r="J178" s="56">
        <f t="shared" si="185"/>
        <v>0</v>
      </c>
      <c r="K178" s="56">
        <f t="shared" si="185"/>
        <v>0</v>
      </c>
      <c r="L178" s="56">
        <f t="shared" si="185"/>
        <v>0</v>
      </c>
      <c r="M178" s="56">
        <f t="shared" si="185"/>
        <v>0</v>
      </c>
      <c r="N178" s="56">
        <f t="shared" si="185"/>
        <v>0</v>
      </c>
      <c r="O178" s="56">
        <f t="shared" si="185"/>
        <v>0</v>
      </c>
      <c r="P178" s="56">
        <f t="shared" si="185"/>
        <v>0</v>
      </c>
      <c r="Q178" s="56">
        <f t="shared" si="185"/>
        <v>0</v>
      </c>
      <c r="R178" s="56">
        <f t="shared" si="185"/>
        <v>0</v>
      </c>
      <c r="S178" s="56">
        <f t="shared" si="185"/>
        <v>0</v>
      </c>
      <c r="T178" s="56">
        <f t="shared" si="185"/>
        <v>0</v>
      </c>
      <c r="U178" s="56">
        <f t="shared" si="185"/>
        <v>0</v>
      </c>
      <c r="V178" s="56">
        <f t="shared" si="185"/>
        <v>0</v>
      </c>
      <c r="W178" s="56">
        <f t="shared" si="185"/>
        <v>0</v>
      </c>
      <c r="X178" s="56">
        <f t="shared" si="185"/>
        <v>0</v>
      </c>
      <c r="Y178" s="56">
        <f t="shared" si="185"/>
        <v>0</v>
      </c>
      <c r="Z178" s="56">
        <f t="shared" si="185"/>
        <v>0</v>
      </c>
      <c r="AB178" s="66">
        <f t="shared" si="159"/>
        <v>0</v>
      </c>
      <c r="AC178" s="56">
        <f t="shared" si="160"/>
        <v>0</v>
      </c>
      <c r="AD178" s="67">
        <f t="shared" si="161"/>
        <v>0</v>
      </c>
    </row>
    <row r="179" spans="1:30" x14ac:dyDescent="0.2">
      <c r="A179" s="244"/>
      <c r="B179" s="244"/>
      <c r="C179" s="71" t="s">
        <v>18</v>
      </c>
      <c r="D179" s="60">
        <f t="shared" ref="D179:Z179" si="186">IF(D$2&lt;global0.5,D$63*SUM((1-fuel_type1_scrubbed_ship3)*(ship3_fuel_type1+IF(D$2&lt;=global0.5,D$62*ship3_fuel_type1_added,ship3_fuel_type1_added))*D$8,(1-fuel_type2_scrubbed_ship3)*(ship3_fuel_type2+IF(D$2&lt;=global0.5,D$62*ship3_fuel_type2_added,ship3_fuel_type2_added))*D$20,(1-fuel_type3_scrubbed_ship3)*(ship3_fuel_type3+IF(D$2&lt;=global0.5,D$62*ship3_fuel_type3_added,ship3_fuel_type3_added))*D$32+(1-fuel_type4_scrubbed_ship3)*(ship3_fuel_type4+IF(D$2&lt;=global0.5,D$62*ship3_fuel_type4_added,ship3_fuel_type4_added))*D$44),D$63*(SUM((1-fuel_type1_scrubbed_ship3)*(ship3_fuel_type1+IF(D$2&lt;=global0.5,D$62*ship3_fuel_type1_added,ship3_fuel_type1_added))*fuel_type1_cal0.5*D$10,(1-fuel_type2_scrubbed_ship3)*(ship3_fuel_type2+IF(D$2&lt;=global0.5,D$62*ship3_fuel_type2_added,ship3_fuel_type2_added))*fuel_type2_cal0.5*D$22,(1-fuel_type3_scrubbed_ship3)*(ship3_fuel_type3+IF(D$2&lt;=global0.5,D$62*ship3_fuel_type3_added,ship3_fuel_type3_added))*fuel_type3_cal0.5*D$34+(1-fuel_type4_scrubbed_ship3)*fuel_type4_cal0.5*(ship3_fuel_type4+IF(D$2&lt;=global0.5,D$62*ship3_fuel_type4_added,ship3_fuel_type4_added))*D$46)))</f>
        <v>0</v>
      </c>
      <c r="E179" s="60">
        <f t="shared" si="186"/>
        <v>0</v>
      </c>
      <c r="F179" s="60">
        <f t="shared" si="186"/>
        <v>0</v>
      </c>
      <c r="G179" s="60">
        <f t="shared" si="186"/>
        <v>0</v>
      </c>
      <c r="H179" s="60">
        <f t="shared" si="186"/>
        <v>0</v>
      </c>
      <c r="I179" s="60">
        <f t="shared" si="186"/>
        <v>0</v>
      </c>
      <c r="J179" s="60">
        <f t="shared" si="186"/>
        <v>0</v>
      </c>
      <c r="K179" s="60">
        <f t="shared" si="186"/>
        <v>0</v>
      </c>
      <c r="L179" s="60">
        <f t="shared" si="186"/>
        <v>0</v>
      </c>
      <c r="M179" s="60">
        <f t="shared" si="186"/>
        <v>0</v>
      </c>
      <c r="N179" s="60">
        <f t="shared" si="186"/>
        <v>0</v>
      </c>
      <c r="O179" s="60">
        <f t="shared" si="186"/>
        <v>0</v>
      </c>
      <c r="P179" s="60">
        <f t="shared" si="186"/>
        <v>0</v>
      </c>
      <c r="Q179" s="60">
        <f t="shared" si="186"/>
        <v>0</v>
      </c>
      <c r="R179" s="60">
        <f t="shared" si="186"/>
        <v>0</v>
      </c>
      <c r="S179" s="60">
        <f t="shared" si="186"/>
        <v>0</v>
      </c>
      <c r="T179" s="60">
        <f t="shared" si="186"/>
        <v>0</v>
      </c>
      <c r="U179" s="60">
        <f t="shared" si="186"/>
        <v>0</v>
      </c>
      <c r="V179" s="60">
        <f t="shared" si="186"/>
        <v>0</v>
      </c>
      <c r="W179" s="60">
        <f t="shared" si="186"/>
        <v>0</v>
      </c>
      <c r="X179" s="60">
        <f t="shared" si="186"/>
        <v>0</v>
      </c>
      <c r="Y179" s="60">
        <f t="shared" si="186"/>
        <v>0</v>
      </c>
      <c r="Z179" s="60">
        <f t="shared" si="186"/>
        <v>0</v>
      </c>
      <c r="AB179" s="61">
        <f t="shared" si="159"/>
        <v>0</v>
      </c>
      <c r="AC179" s="60">
        <f t="shared" si="160"/>
        <v>0</v>
      </c>
      <c r="AD179" s="62">
        <f t="shared" si="161"/>
        <v>0</v>
      </c>
    </row>
    <row r="180" spans="1:30" x14ac:dyDescent="0.2">
      <c r="A180" s="244"/>
      <c r="B180" s="244"/>
      <c r="C180" s="71" t="s">
        <v>19</v>
      </c>
      <c r="D180" s="63">
        <f t="shared" ref="D180:Z180" si="187">IF(D$2&lt;global0.5,D$63*SUM((1-fuel_type1_scrubbed_ship3)*(ship3_fuel_type1+IF(D$2&lt;=global0.5,D$62*ship3_fuel_type1_added,ship3_fuel_type1_added))*D$12,(1-fuel_type2_scrubbed_ship3)*(ship3_fuel_type2+IF(D$2&lt;=global0.5,D$62*ship3_fuel_type2_added,ship3_fuel_type2_added))*D$24,(1-fuel_type3_scrubbed_ship3)*(ship3_fuel_type3+IF(D$2&lt;=global0.5,D$62*ship3_fuel_type3_added,ship3_fuel_type3_added))*D$36+(1-fuel_type4_scrubbed_ship3)*(ship3_fuel_type4+IF(D$2&lt;=global0.5,D$62*ship3_fuel_type4_added,ship3_fuel_type4_added))*D$48),D$63*(SUM((1-fuel_type1_scrubbed_ship3)*(ship3_fuel_type1+IF(D$2&lt;=global0.5,D$62*ship3_fuel_type1_added,ship3_fuel_type1_added))*fuel_type1_cal0.5*D$14,(1-fuel_type2_scrubbed_ship3)*(ship3_fuel_type2+IF(D$2&lt;=global0.5,D$62*ship3_fuel_type2_added,ship3_fuel_type2_added))*fuel_type2_cal0.5*D$26,(1-fuel_type3_scrubbed_ship3)*(ship3_fuel_type3+IF(D$2&lt;=global0.5,D$62*ship3_fuel_type3_added,ship3_fuel_type3_added))*fuel_type3_cal0.5*D$38+(1-fuel_type4_scrubbed_ship3)*fuel_type4_cal0.5*(ship3_fuel_type4+IF(D$2&lt;=global0.5,D$62*ship3_fuel_type4_added,ship3_fuel_type4_added))*D$50)))</f>
        <v>0</v>
      </c>
      <c r="E180" s="63">
        <f t="shared" si="187"/>
        <v>0</v>
      </c>
      <c r="F180" s="63">
        <f t="shared" si="187"/>
        <v>0</v>
      </c>
      <c r="G180" s="63">
        <f t="shared" si="187"/>
        <v>0</v>
      </c>
      <c r="H180" s="63">
        <f t="shared" si="187"/>
        <v>0</v>
      </c>
      <c r="I180" s="63">
        <f t="shared" si="187"/>
        <v>0</v>
      </c>
      <c r="J180" s="63">
        <f t="shared" si="187"/>
        <v>0</v>
      </c>
      <c r="K180" s="63">
        <f t="shared" si="187"/>
        <v>0</v>
      </c>
      <c r="L180" s="63">
        <f t="shared" si="187"/>
        <v>0</v>
      </c>
      <c r="M180" s="63">
        <f t="shared" si="187"/>
        <v>0</v>
      </c>
      <c r="N180" s="63">
        <f t="shared" si="187"/>
        <v>0</v>
      </c>
      <c r="O180" s="63">
        <f t="shared" si="187"/>
        <v>0</v>
      </c>
      <c r="P180" s="63">
        <f t="shared" si="187"/>
        <v>0</v>
      </c>
      <c r="Q180" s="63">
        <f t="shared" si="187"/>
        <v>0</v>
      </c>
      <c r="R180" s="63">
        <f t="shared" si="187"/>
        <v>0</v>
      </c>
      <c r="S180" s="63">
        <f t="shared" si="187"/>
        <v>0</v>
      </c>
      <c r="T180" s="63">
        <f t="shared" si="187"/>
        <v>0</v>
      </c>
      <c r="U180" s="63">
        <f t="shared" si="187"/>
        <v>0</v>
      </c>
      <c r="V180" s="63">
        <f t="shared" si="187"/>
        <v>0</v>
      </c>
      <c r="W180" s="63">
        <f t="shared" si="187"/>
        <v>0</v>
      </c>
      <c r="X180" s="63">
        <f t="shared" si="187"/>
        <v>0</v>
      </c>
      <c r="Y180" s="63">
        <f t="shared" si="187"/>
        <v>0</v>
      </c>
      <c r="Z180" s="63">
        <f t="shared" si="187"/>
        <v>0</v>
      </c>
      <c r="AB180" s="64">
        <f t="shared" si="159"/>
        <v>0</v>
      </c>
      <c r="AC180" s="63">
        <f t="shared" si="160"/>
        <v>0</v>
      </c>
      <c r="AD180" s="65">
        <f t="shared" si="161"/>
        <v>0</v>
      </c>
    </row>
    <row r="181" spans="1:30" x14ac:dyDescent="0.2">
      <c r="A181" s="244"/>
      <c r="B181" s="244">
        <f>ship4</f>
        <v>0</v>
      </c>
      <c r="C181" s="71" t="s">
        <v>17</v>
      </c>
      <c r="D181" s="56">
        <f t="shared" ref="D181:Z181" si="188">IF(D$2&lt;global0.5,D$65*SUM((1-fuel_type1_scrubbed_ship4)*(ship4_fuel_type1+IF(D$2&lt;=global0.5,D$64*ship4_fuel_type1_added,ship4_fuel_type1_added))*D$4,(1-fuel_type2_scrubbed_ship4)*(ship4_fuel_type2+IF(D$2&lt;=global0.5,D$64*ship4_fuel_type2_added,ship4_fuel_type2_added))*D$16,(1-fuel_type3_scrubbed_ship4)*(ship4_fuel_type3+IF(D$2&lt;=global0.5,D$64*ship4_fuel_type3_added,ship4_fuel_type3_added))*D$28+(1-fuel_type4_scrubbed_ship4)*(ship4_fuel_type4+IF(D$2&lt;=global0.5,D$64*ship4_fuel_type4_added,ship4_fuel_type4_added))*D$40),D$65*(SUM((1-fuel_type1_scrubbed_ship4)*(ship4_fuel_type1+IF(D$2&lt;=global0.5,D$64*ship4_fuel_type1_added,ship4_fuel_type1_added))*fuel_type1_cal0.5*D$6,(1-fuel_type2_scrubbed_ship4)*(ship4_fuel_type2+IF(D$2&lt;=global0.5,D$64*ship4_fuel_type2_added,ship4_fuel_type2_added))*fuel_type2_cal0.5*D$18,(1-fuel_type3_scrubbed_ship4)*(ship4_fuel_type3+IF(D$2&lt;=global0.5,D$64*ship4_fuel_type3_added,ship4_fuel_type3_added))*fuel_type3_cal0.5*D$30+(1-fuel_type4_scrubbed_ship4)*fuel_type4_cal0.5*(ship4_fuel_type4+IF(D$2&lt;=global0.5,D$64*ship4_fuel_type4_added,ship4_fuel_type4_added))*D$42)))</f>
        <v>0</v>
      </c>
      <c r="E181" s="56">
        <f t="shared" si="188"/>
        <v>0</v>
      </c>
      <c r="F181" s="56">
        <f t="shared" si="188"/>
        <v>0</v>
      </c>
      <c r="G181" s="56">
        <f t="shared" si="188"/>
        <v>0</v>
      </c>
      <c r="H181" s="56">
        <f t="shared" si="188"/>
        <v>0</v>
      </c>
      <c r="I181" s="56">
        <f t="shared" si="188"/>
        <v>0</v>
      </c>
      <c r="J181" s="56">
        <f t="shared" si="188"/>
        <v>0</v>
      </c>
      <c r="K181" s="56">
        <f t="shared" si="188"/>
        <v>0</v>
      </c>
      <c r="L181" s="56">
        <f t="shared" si="188"/>
        <v>0</v>
      </c>
      <c r="M181" s="56">
        <f t="shared" si="188"/>
        <v>0</v>
      </c>
      <c r="N181" s="56">
        <f t="shared" si="188"/>
        <v>0</v>
      </c>
      <c r="O181" s="56">
        <f t="shared" si="188"/>
        <v>0</v>
      </c>
      <c r="P181" s="56">
        <f t="shared" si="188"/>
        <v>0</v>
      </c>
      <c r="Q181" s="56">
        <f t="shared" si="188"/>
        <v>0</v>
      </c>
      <c r="R181" s="56">
        <f t="shared" si="188"/>
        <v>0</v>
      </c>
      <c r="S181" s="56">
        <f t="shared" si="188"/>
        <v>0</v>
      </c>
      <c r="T181" s="56">
        <f t="shared" si="188"/>
        <v>0</v>
      </c>
      <c r="U181" s="56">
        <f t="shared" si="188"/>
        <v>0</v>
      </c>
      <c r="V181" s="56">
        <f t="shared" si="188"/>
        <v>0</v>
      </c>
      <c r="W181" s="56">
        <f t="shared" si="188"/>
        <v>0</v>
      </c>
      <c r="X181" s="56">
        <f t="shared" si="188"/>
        <v>0</v>
      </c>
      <c r="Y181" s="56">
        <f t="shared" si="188"/>
        <v>0</v>
      </c>
      <c r="Z181" s="56">
        <f t="shared" si="188"/>
        <v>0</v>
      </c>
      <c r="AB181" s="66">
        <f t="shared" si="159"/>
        <v>0</v>
      </c>
      <c r="AC181" s="56">
        <f t="shared" si="160"/>
        <v>0</v>
      </c>
      <c r="AD181" s="67">
        <f t="shared" si="161"/>
        <v>0</v>
      </c>
    </row>
    <row r="182" spans="1:30" x14ac:dyDescent="0.2">
      <c r="A182" s="244"/>
      <c r="B182" s="244"/>
      <c r="C182" s="71" t="s">
        <v>18</v>
      </c>
      <c r="D182" s="60">
        <f t="shared" ref="D182:Z182" si="189">IF(D$2&lt;global0.5,D$65*SUM((1-fuel_type1_scrubbed_ship4)*(ship4_fuel_type1+IF(D$2&lt;=global0.5,D$64*ship4_fuel_type1_added,ship4_fuel_type1_added))*D$8,(1-fuel_type2_scrubbed_ship4)*(ship4_fuel_type2+IF(D$2&lt;=global0.5,D$64*ship4_fuel_type2_added,ship4_fuel_type2_added))*D$20,(1-fuel_type3_scrubbed_ship4)*(ship4_fuel_type3+IF(D$2&lt;=global0.5,D$64*ship4_fuel_type3_added,ship4_fuel_type3_added))*D$32+(1-fuel_type4_scrubbed_ship4)*(ship4_fuel_type4+IF(D$2&lt;=global0.5,D$64*ship4_fuel_type4_added,ship4_fuel_type4_added))*D$44),D$65*(SUM((1-fuel_type1_scrubbed_ship4)*(ship4_fuel_type1+IF(D$2&lt;=global0.5,D$64*ship4_fuel_type1_added,ship4_fuel_type1_added))*fuel_type1_cal0.5*D$10,(1-fuel_type2_scrubbed_ship4)*(ship4_fuel_type2+IF(D$2&lt;=global0.5,D$64*ship4_fuel_type2_added,ship4_fuel_type2_added))*fuel_type2_cal0.5*D$22,(1-fuel_type3_scrubbed_ship4)*(ship4_fuel_type3+IF(D$2&lt;=global0.5,D$64*ship4_fuel_type3_added,ship4_fuel_type3_added))*fuel_type3_cal0.5*D$34+(1-fuel_type4_scrubbed_ship4)*fuel_type4_cal0.5*(ship4_fuel_type4+IF(D$2&lt;=global0.5,D$64*ship4_fuel_type4_added,ship4_fuel_type4_added))*D$46)))</f>
        <v>0</v>
      </c>
      <c r="E182" s="60">
        <f t="shared" si="189"/>
        <v>0</v>
      </c>
      <c r="F182" s="60">
        <f t="shared" si="189"/>
        <v>0</v>
      </c>
      <c r="G182" s="60">
        <f t="shared" si="189"/>
        <v>0</v>
      </c>
      <c r="H182" s="60">
        <f t="shared" si="189"/>
        <v>0</v>
      </c>
      <c r="I182" s="60">
        <f t="shared" si="189"/>
        <v>0</v>
      </c>
      <c r="J182" s="60">
        <f t="shared" si="189"/>
        <v>0</v>
      </c>
      <c r="K182" s="60">
        <f t="shared" si="189"/>
        <v>0</v>
      </c>
      <c r="L182" s="60">
        <f t="shared" si="189"/>
        <v>0</v>
      </c>
      <c r="M182" s="60">
        <f t="shared" si="189"/>
        <v>0</v>
      </c>
      <c r="N182" s="60">
        <f t="shared" si="189"/>
        <v>0</v>
      </c>
      <c r="O182" s="60">
        <f t="shared" si="189"/>
        <v>0</v>
      </c>
      <c r="P182" s="60">
        <f t="shared" si="189"/>
        <v>0</v>
      </c>
      <c r="Q182" s="60">
        <f t="shared" si="189"/>
        <v>0</v>
      </c>
      <c r="R182" s="60">
        <f t="shared" si="189"/>
        <v>0</v>
      </c>
      <c r="S182" s="60">
        <f t="shared" si="189"/>
        <v>0</v>
      </c>
      <c r="T182" s="60">
        <f t="shared" si="189"/>
        <v>0</v>
      </c>
      <c r="U182" s="60">
        <f t="shared" si="189"/>
        <v>0</v>
      </c>
      <c r="V182" s="60">
        <f t="shared" si="189"/>
        <v>0</v>
      </c>
      <c r="W182" s="60">
        <f t="shared" si="189"/>
        <v>0</v>
      </c>
      <c r="X182" s="60">
        <f t="shared" si="189"/>
        <v>0</v>
      </c>
      <c r="Y182" s="60">
        <f t="shared" si="189"/>
        <v>0</v>
      </c>
      <c r="Z182" s="60">
        <f t="shared" si="189"/>
        <v>0</v>
      </c>
      <c r="AB182" s="61">
        <f t="shared" si="159"/>
        <v>0</v>
      </c>
      <c r="AC182" s="60">
        <f t="shared" si="160"/>
        <v>0</v>
      </c>
      <c r="AD182" s="62">
        <f t="shared" si="161"/>
        <v>0</v>
      </c>
    </row>
    <row r="183" spans="1:30" x14ac:dyDescent="0.2">
      <c r="A183" s="244"/>
      <c r="B183" s="244"/>
      <c r="C183" s="71" t="s">
        <v>19</v>
      </c>
      <c r="D183" s="63">
        <f t="shared" ref="D183:Z183" si="190">IF(D$2&lt;global0.5,D$65*SUM((1-fuel_type1_scrubbed_ship4)*(ship4_fuel_type1+IF(D$2&lt;=global0.5,D$64*ship4_fuel_type1_added,ship4_fuel_type1_added))*D$12,(1-fuel_type2_scrubbed_ship4)*(ship4_fuel_type2+IF(D$2&lt;=global0.5,D$64*ship4_fuel_type2_added,ship4_fuel_type2_added))*D$24,(1-fuel_type3_scrubbed_ship4)*(ship4_fuel_type3+IF(D$2&lt;=global0.5,D$64*ship4_fuel_type3_added,ship4_fuel_type3_added))*D$36+(1-fuel_type4_scrubbed_ship4)*(ship4_fuel_type4+IF(D$2&lt;=global0.5,D$64*ship4_fuel_type4_added,ship4_fuel_type4_added))*D$48),D$65*(SUM((1-fuel_type1_scrubbed_ship4)*(ship4_fuel_type1+IF(D$2&lt;=global0.5,D$64*ship4_fuel_type1_added,ship4_fuel_type1_added))*fuel_type1_cal0.5*D$14,(1-fuel_type2_scrubbed_ship4)*(ship4_fuel_type2+IF(D$2&lt;=global0.5,D$64*ship4_fuel_type2_added,ship4_fuel_type2_added))*fuel_type2_cal0.5*D$26,(1-fuel_type3_scrubbed_ship4)*(ship4_fuel_type3+IF(D$2&lt;=global0.5,D$64*ship4_fuel_type3_added,ship4_fuel_type3_added))*fuel_type3_cal0.5*D$38+(1-fuel_type4_scrubbed_ship4)*fuel_type4_cal0.5*(ship4_fuel_type4+IF(D$2&lt;=global0.5,D$64*ship4_fuel_type4_added,ship4_fuel_type4_added))*D$50)))</f>
        <v>0</v>
      </c>
      <c r="E183" s="63">
        <f t="shared" si="190"/>
        <v>0</v>
      </c>
      <c r="F183" s="63">
        <f t="shared" si="190"/>
        <v>0</v>
      </c>
      <c r="G183" s="63">
        <f t="shared" si="190"/>
        <v>0</v>
      </c>
      <c r="H183" s="63">
        <f t="shared" si="190"/>
        <v>0</v>
      </c>
      <c r="I183" s="63">
        <f t="shared" si="190"/>
        <v>0</v>
      </c>
      <c r="J183" s="63">
        <f t="shared" si="190"/>
        <v>0</v>
      </c>
      <c r="K183" s="63">
        <f t="shared" si="190"/>
        <v>0</v>
      </c>
      <c r="L183" s="63">
        <f t="shared" si="190"/>
        <v>0</v>
      </c>
      <c r="M183" s="63">
        <f t="shared" si="190"/>
        <v>0</v>
      </c>
      <c r="N183" s="63">
        <f t="shared" si="190"/>
        <v>0</v>
      </c>
      <c r="O183" s="63">
        <f t="shared" si="190"/>
        <v>0</v>
      </c>
      <c r="P183" s="63">
        <f t="shared" si="190"/>
        <v>0</v>
      </c>
      <c r="Q183" s="63">
        <f t="shared" si="190"/>
        <v>0</v>
      </c>
      <c r="R183" s="63">
        <f t="shared" si="190"/>
        <v>0</v>
      </c>
      <c r="S183" s="63">
        <f t="shared" si="190"/>
        <v>0</v>
      </c>
      <c r="T183" s="63">
        <f t="shared" si="190"/>
        <v>0</v>
      </c>
      <c r="U183" s="63">
        <f t="shared" si="190"/>
        <v>0</v>
      </c>
      <c r="V183" s="63">
        <f t="shared" si="190"/>
        <v>0</v>
      </c>
      <c r="W183" s="63">
        <f t="shared" si="190"/>
        <v>0</v>
      </c>
      <c r="X183" s="63">
        <f t="shared" si="190"/>
        <v>0</v>
      </c>
      <c r="Y183" s="63">
        <f t="shared" si="190"/>
        <v>0</v>
      </c>
      <c r="Z183" s="63">
        <f t="shared" si="190"/>
        <v>0</v>
      </c>
      <c r="AB183" s="64">
        <f t="shared" si="159"/>
        <v>0</v>
      </c>
      <c r="AC183" s="63">
        <f t="shared" si="160"/>
        <v>0</v>
      </c>
      <c r="AD183" s="65">
        <f t="shared" si="161"/>
        <v>0</v>
      </c>
    </row>
    <row r="184" spans="1:30" x14ac:dyDescent="0.2">
      <c r="A184" s="244"/>
      <c r="B184" s="244">
        <f>ship5</f>
        <v>0</v>
      </c>
      <c r="C184" s="71" t="s">
        <v>17</v>
      </c>
      <c r="D184" s="56">
        <f t="shared" ref="D184:Z184" si="191">IF(D$2&lt;global0.5,D$67*SUM((1-fuel_type1_scrubbed_ship5)*(ship5_fuel_type1+IF(D$2&lt;=global0.5,D$66*ship5_fuel_type1_added,ship5_fuel_type1_added))*D$4,(1-fuel_type2_scrubbed_ship5)*(ship5_fuel_type2+IF(D$2&lt;=global0.5,D$66*ship5_fuel_type2_added,ship5_fuel_type2_added))*D$16,(1-fuel_type3_scrubbed_ship5)*(ship5_fuel_type3+IF(D$2&lt;=global0.5,D$66*ship5_fuel_type3_added,ship5_fuel_type3_added))*D$28+(1-fuel_type4_scrubbed_ship5)*(ship5_fuel_type4+IF(D$2&lt;=global0.5,D$66*ship5_fuel_type4_added,ship5_fuel_type4_added))*D$40),D$67*(SUM((1-fuel_type1_scrubbed_ship5)*(ship5_fuel_type1+IF(D$2&lt;=global0.5,D$66*ship5_fuel_type1_added,ship5_fuel_type1_added))*fuel_type1_cal0.5*D$6,(1-fuel_type2_scrubbed_ship5)*(ship5_fuel_type2+IF(D$2&lt;=global0.5,D$66*ship5_fuel_type2_added,ship5_fuel_type2_added))*fuel_type2_cal0.5*D$18,(1-fuel_type3_scrubbed_ship5)*(ship5_fuel_type3+IF(D$2&lt;=global0.5,D$66*ship5_fuel_type3_added,ship5_fuel_type3_added))*fuel_type3_cal0.5*D$30+(1-fuel_type4_scrubbed_ship5)*fuel_type4_cal0.5*(ship5_fuel_type4+IF(D$2&lt;=global0.5,D$66*ship5_fuel_type4_added,ship5_fuel_type4_added))*D$42)))</f>
        <v>0</v>
      </c>
      <c r="E184" s="56">
        <f t="shared" si="191"/>
        <v>0</v>
      </c>
      <c r="F184" s="56">
        <f t="shared" si="191"/>
        <v>0</v>
      </c>
      <c r="G184" s="56">
        <f t="shared" si="191"/>
        <v>0</v>
      </c>
      <c r="H184" s="56">
        <f t="shared" si="191"/>
        <v>0</v>
      </c>
      <c r="I184" s="56">
        <f t="shared" si="191"/>
        <v>0</v>
      </c>
      <c r="J184" s="56">
        <f t="shared" si="191"/>
        <v>0</v>
      </c>
      <c r="K184" s="56">
        <f t="shared" si="191"/>
        <v>0</v>
      </c>
      <c r="L184" s="56">
        <f t="shared" si="191"/>
        <v>0</v>
      </c>
      <c r="M184" s="56">
        <f t="shared" si="191"/>
        <v>0</v>
      </c>
      <c r="N184" s="56">
        <f t="shared" si="191"/>
        <v>0</v>
      </c>
      <c r="O184" s="56">
        <f t="shared" si="191"/>
        <v>0</v>
      </c>
      <c r="P184" s="56">
        <f t="shared" si="191"/>
        <v>0</v>
      </c>
      <c r="Q184" s="56">
        <f t="shared" si="191"/>
        <v>0</v>
      </c>
      <c r="R184" s="56">
        <f t="shared" si="191"/>
        <v>0</v>
      </c>
      <c r="S184" s="56">
        <f t="shared" si="191"/>
        <v>0</v>
      </c>
      <c r="T184" s="56">
        <f t="shared" si="191"/>
        <v>0</v>
      </c>
      <c r="U184" s="56">
        <f t="shared" si="191"/>
        <v>0</v>
      </c>
      <c r="V184" s="56">
        <f t="shared" si="191"/>
        <v>0</v>
      </c>
      <c r="W184" s="56">
        <f t="shared" si="191"/>
        <v>0</v>
      </c>
      <c r="X184" s="56">
        <f t="shared" si="191"/>
        <v>0</v>
      </c>
      <c r="Y184" s="56">
        <f t="shared" si="191"/>
        <v>0</v>
      </c>
      <c r="Z184" s="56">
        <f t="shared" si="191"/>
        <v>0</v>
      </c>
      <c r="AB184" s="66">
        <f t="shared" si="159"/>
        <v>0</v>
      </c>
      <c r="AC184" s="56">
        <f t="shared" si="160"/>
        <v>0</v>
      </c>
      <c r="AD184" s="67">
        <f t="shared" si="161"/>
        <v>0</v>
      </c>
    </row>
    <row r="185" spans="1:30" x14ac:dyDescent="0.2">
      <c r="A185" s="244"/>
      <c r="B185" s="244"/>
      <c r="C185" s="71" t="s">
        <v>18</v>
      </c>
      <c r="D185" s="60">
        <f t="shared" ref="D185:Z185" si="192">IF(D$2&lt;global0.5,D$67*SUM((1-fuel_type1_scrubbed_ship5)*(ship5_fuel_type1+IF(D$2&lt;=global0.5,D$66*ship5_fuel_type1_added,ship5_fuel_type1_added))*D$8,(1-fuel_type2_scrubbed_ship5)*(ship5_fuel_type2+IF(D$2&lt;=global0.5,D$66*ship5_fuel_type2_added,ship5_fuel_type2_added))*D$20,(1-fuel_type3_scrubbed_ship5)*(ship5_fuel_type3+IF(D$2&lt;=global0.5,D$66*ship5_fuel_type3_added,ship5_fuel_type3_added))*D$32+(1-fuel_type4_scrubbed_ship5)*(ship5_fuel_type4+IF(D$2&lt;=global0.5,D$66*ship5_fuel_type4_added,ship5_fuel_type4_added))*D$44),D$67*(SUM((1-fuel_type1_scrubbed_ship5)*(ship5_fuel_type1+IF(D$2&lt;=global0.5,D$66*ship5_fuel_type1_added,ship5_fuel_type1_added))*fuel_type1_cal0.5*D$10,(1-fuel_type2_scrubbed_ship5)*(ship5_fuel_type2+IF(D$2&lt;=global0.5,D$66*ship5_fuel_type2_added,ship5_fuel_type2_added))*fuel_type2_cal0.5*D$22,(1-fuel_type3_scrubbed_ship5)*(ship5_fuel_type3+IF(D$2&lt;=global0.5,D$66*ship5_fuel_type3_added,ship5_fuel_type3_added))*fuel_type3_cal0.5*D$34+(1-fuel_type4_scrubbed_ship5)*fuel_type4_cal0.5*(ship5_fuel_type4+IF(D$2&lt;=global0.5,D$66*ship5_fuel_type4_added,ship5_fuel_type4_added))*D$46)))</f>
        <v>0</v>
      </c>
      <c r="E185" s="60">
        <f t="shared" si="192"/>
        <v>0</v>
      </c>
      <c r="F185" s="60">
        <f t="shared" si="192"/>
        <v>0</v>
      </c>
      <c r="G185" s="60">
        <f t="shared" si="192"/>
        <v>0</v>
      </c>
      <c r="H185" s="60">
        <f t="shared" si="192"/>
        <v>0</v>
      </c>
      <c r="I185" s="60">
        <f t="shared" si="192"/>
        <v>0</v>
      </c>
      <c r="J185" s="60">
        <f t="shared" si="192"/>
        <v>0</v>
      </c>
      <c r="K185" s="60">
        <f t="shared" si="192"/>
        <v>0</v>
      </c>
      <c r="L185" s="60">
        <f t="shared" si="192"/>
        <v>0</v>
      </c>
      <c r="M185" s="60">
        <f t="shared" si="192"/>
        <v>0</v>
      </c>
      <c r="N185" s="60">
        <f t="shared" si="192"/>
        <v>0</v>
      </c>
      <c r="O185" s="60">
        <f t="shared" si="192"/>
        <v>0</v>
      </c>
      <c r="P185" s="60">
        <f t="shared" si="192"/>
        <v>0</v>
      </c>
      <c r="Q185" s="60">
        <f t="shared" si="192"/>
        <v>0</v>
      </c>
      <c r="R185" s="60">
        <f t="shared" si="192"/>
        <v>0</v>
      </c>
      <c r="S185" s="60">
        <f t="shared" si="192"/>
        <v>0</v>
      </c>
      <c r="T185" s="60">
        <f t="shared" si="192"/>
        <v>0</v>
      </c>
      <c r="U185" s="60">
        <f t="shared" si="192"/>
        <v>0</v>
      </c>
      <c r="V185" s="60">
        <f t="shared" si="192"/>
        <v>0</v>
      </c>
      <c r="W185" s="60">
        <f t="shared" si="192"/>
        <v>0</v>
      </c>
      <c r="X185" s="60">
        <f t="shared" si="192"/>
        <v>0</v>
      </c>
      <c r="Y185" s="60">
        <f t="shared" si="192"/>
        <v>0</v>
      </c>
      <c r="Z185" s="60">
        <f t="shared" si="192"/>
        <v>0</v>
      </c>
      <c r="AB185" s="61">
        <f t="shared" si="159"/>
        <v>0</v>
      </c>
      <c r="AC185" s="60">
        <f t="shared" si="160"/>
        <v>0</v>
      </c>
      <c r="AD185" s="62">
        <f t="shared" si="161"/>
        <v>0</v>
      </c>
    </row>
    <row r="186" spans="1:30" x14ac:dyDescent="0.2">
      <c r="A186" s="244"/>
      <c r="B186" s="244"/>
      <c r="C186" s="71" t="s">
        <v>19</v>
      </c>
      <c r="D186" s="63">
        <f t="shared" ref="D186:Z186" si="193">IF(D$2&lt;global0.5,D$67*SUM((1-fuel_type1_scrubbed_ship5)*(ship5_fuel_type1+IF(D$2&lt;=global0.5,D$66*ship5_fuel_type1_added,ship5_fuel_type1_added))*D$12,(1-fuel_type2_scrubbed_ship5)*(ship5_fuel_type2+IF(D$2&lt;=global0.5,D$66*ship5_fuel_type2_added,ship5_fuel_type2_added))*D$24,(1-fuel_type3_scrubbed_ship5)*(ship5_fuel_type3+IF(D$2&lt;=global0.5,D$66*ship5_fuel_type3_added,ship5_fuel_type3_added))*D$36+(1-fuel_type4_scrubbed_ship5)*(ship5_fuel_type4+IF(D$2&lt;=global0.5,D$66*ship5_fuel_type4_added,ship5_fuel_type4_added))*D$48),D$67*(SUM((1-fuel_type1_scrubbed_ship5)*(ship5_fuel_type1+IF(D$2&lt;=global0.5,D$66*ship5_fuel_type1_added,ship5_fuel_type1_added))*fuel_type1_cal0.5*D$14,(1-fuel_type2_scrubbed_ship5)*(ship5_fuel_type2+IF(D$2&lt;=global0.5,D$66*ship5_fuel_type2_added,ship5_fuel_type2_added))*fuel_type2_cal0.5*D$26,(1-fuel_type3_scrubbed_ship5)*(ship5_fuel_type3+IF(D$2&lt;=global0.5,D$66*ship5_fuel_type3_added,ship5_fuel_type3_added))*fuel_type3_cal0.5*D$38+(1-fuel_type4_scrubbed_ship5)*fuel_type4_cal0.5*(ship5_fuel_type4+IF(D$2&lt;=global0.5,D$66*ship5_fuel_type4_added,ship5_fuel_type4_added))*D$50)))</f>
        <v>0</v>
      </c>
      <c r="E186" s="63">
        <f t="shared" si="193"/>
        <v>0</v>
      </c>
      <c r="F186" s="63">
        <f t="shared" si="193"/>
        <v>0</v>
      </c>
      <c r="G186" s="63">
        <f t="shared" si="193"/>
        <v>0</v>
      </c>
      <c r="H186" s="63">
        <f t="shared" si="193"/>
        <v>0</v>
      </c>
      <c r="I186" s="63">
        <f t="shared" si="193"/>
        <v>0</v>
      </c>
      <c r="J186" s="63">
        <f t="shared" si="193"/>
        <v>0</v>
      </c>
      <c r="K186" s="63">
        <f t="shared" si="193"/>
        <v>0</v>
      </c>
      <c r="L186" s="63">
        <f t="shared" si="193"/>
        <v>0</v>
      </c>
      <c r="M186" s="63">
        <f t="shared" si="193"/>
        <v>0</v>
      </c>
      <c r="N186" s="63">
        <f t="shared" si="193"/>
        <v>0</v>
      </c>
      <c r="O186" s="63">
        <f t="shared" si="193"/>
        <v>0</v>
      </c>
      <c r="P186" s="63">
        <f t="shared" si="193"/>
        <v>0</v>
      </c>
      <c r="Q186" s="63">
        <f t="shared" si="193"/>
        <v>0</v>
      </c>
      <c r="R186" s="63">
        <f t="shared" si="193"/>
        <v>0</v>
      </c>
      <c r="S186" s="63">
        <f t="shared" si="193"/>
        <v>0</v>
      </c>
      <c r="T186" s="63">
        <f t="shared" si="193"/>
        <v>0</v>
      </c>
      <c r="U186" s="63">
        <f t="shared" si="193"/>
        <v>0</v>
      </c>
      <c r="V186" s="63">
        <f t="shared" si="193"/>
        <v>0</v>
      </c>
      <c r="W186" s="63">
        <f t="shared" si="193"/>
        <v>0</v>
      </c>
      <c r="X186" s="63">
        <f t="shared" si="193"/>
        <v>0</v>
      </c>
      <c r="Y186" s="63">
        <f t="shared" si="193"/>
        <v>0</v>
      </c>
      <c r="Z186" s="63">
        <f t="shared" si="193"/>
        <v>0</v>
      </c>
      <c r="AB186" s="64">
        <f t="shared" si="159"/>
        <v>0</v>
      </c>
      <c r="AC186" s="63">
        <f t="shared" si="160"/>
        <v>0</v>
      </c>
      <c r="AD186" s="65">
        <f t="shared" si="161"/>
        <v>0</v>
      </c>
    </row>
    <row r="187" spans="1:30" x14ac:dyDescent="0.2">
      <c r="A187" s="244"/>
      <c r="B187" s="244">
        <f>ship6</f>
        <v>0</v>
      </c>
      <c r="C187" s="71" t="s">
        <v>17</v>
      </c>
      <c r="D187" s="56">
        <f t="shared" ref="D187:Z187" si="194">IF(D$2&lt;global0.5,D$69*SUM((1-fuel_type1_scrubbed_ship6)*(ship6_fuel_type1+IF(D$2&lt;=global0.5,D$68*ship6_fuel_type1_added,ship6_fuel_type1_added))*D$4,(1-fuel_type2_scrubbed_ship6)*(ship6_fuel_type2+IF(D$2&lt;=global0.5,D$68*ship6_fuel_type2_added,ship6_fuel_type2_added))*D$16,(1-fuel_type3_scrubbed_ship6)*(ship6_fuel_type3+IF(D$2&lt;=global0.5,D$68*ship6_fuel_type3_added,ship6_fuel_type3_added))*D$28+(1-fuel_type4_scrubbed_ship6)*(ship6_fuel_type4+IF(D$2&lt;=global0.5,D$68*ship6_fuel_type4_added,ship6_fuel_type4_added))*D$40),D$69*(SUM((1-fuel_type1_scrubbed_ship6)*(ship6_fuel_type1+IF(D$2&lt;=global0.5,D$68*ship6_fuel_type1_added,ship6_fuel_type1_added))*fuel_type1_cal0.5*D$6,(1-fuel_type2_scrubbed_ship6)*(ship6_fuel_type2+IF(D$2&lt;=global0.5,D$68*ship6_fuel_type2_added,ship6_fuel_type2_added))*fuel_type2_cal0.5*D$18,(1-fuel_type3_scrubbed_ship6)*(ship6_fuel_type3+IF(D$2&lt;=global0.5,D$68*ship6_fuel_type3_added,ship6_fuel_type3_added))*fuel_type3_cal0.5*D$30+(1-fuel_type4_scrubbed_ship6)*fuel_type4_cal0.5*(ship6_fuel_type4+IF(D$2&lt;=global0.5,D$68*ship6_fuel_type4_added,ship6_fuel_type4_added))*D$42)))</f>
        <v>0</v>
      </c>
      <c r="E187" s="56">
        <f t="shared" si="194"/>
        <v>0</v>
      </c>
      <c r="F187" s="56">
        <f t="shared" si="194"/>
        <v>0</v>
      </c>
      <c r="G187" s="56">
        <f t="shared" si="194"/>
        <v>0</v>
      </c>
      <c r="H187" s="56">
        <f t="shared" si="194"/>
        <v>0</v>
      </c>
      <c r="I187" s="56">
        <f t="shared" si="194"/>
        <v>0</v>
      </c>
      <c r="J187" s="56">
        <f t="shared" si="194"/>
        <v>0</v>
      </c>
      <c r="K187" s="56">
        <f t="shared" si="194"/>
        <v>0</v>
      </c>
      <c r="L187" s="56">
        <f t="shared" si="194"/>
        <v>0</v>
      </c>
      <c r="M187" s="56">
        <f t="shared" si="194"/>
        <v>0</v>
      </c>
      <c r="N187" s="56">
        <f t="shared" si="194"/>
        <v>0</v>
      </c>
      <c r="O187" s="56">
        <f t="shared" si="194"/>
        <v>0</v>
      </c>
      <c r="P187" s="56">
        <f t="shared" si="194"/>
        <v>0</v>
      </c>
      <c r="Q187" s="56">
        <f t="shared" si="194"/>
        <v>0</v>
      </c>
      <c r="R187" s="56">
        <f t="shared" si="194"/>
        <v>0</v>
      </c>
      <c r="S187" s="56">
        <f t="shared" si="194"/>
        <v>0</v>
      </c>
      <c r="T187" s="56">
        <f t="shared" si="194"/>
        <v>0</v>
      </c>
      <c r="U187" s="56">
        <f t="shared" si="194"/>
        <v>0</v>
      </c>
      <c r="V187" s="56">
        <f t="shared" si="194"/>
        <v>0</v>
      </c>
      <c r="W187" s="56">
        <f t="shared" si="194"/>
        <v>0</v>
      </c>
      <c r="X187" s="56">
        <f t="shared" si="194"/>
        <v>0</v>
      </c>
      <c r="Y187" s="56">
        <f t="shared" si="194"/>
        <v>0</v>
      </c>
      <c r="Z187" s="56">
        <f t="shared" si="194"/>
        <v>0</v>
      </c>
      <c r="AB187" s="66">
        <f t="shared" si="159"/>
        <v>0</v>
      </c>
      <c r="AC187" s="56">
        <f t="shared" si="160"/>
        <v>0</v>
      </c>
      <c r="AD187" s="67">
        <f t="shared" si="161"/>
        <v>0</v>
      </c>
    </row>
    <row r="188" spans="1:30" x14ac:dyDescent="0.2">
      <c r="A188" s="244"/>
      <c r="B188" s="244"/>
      <c r="C188" s="71" t="s">
        <v>18</v>
      </c>
      <c r="D188" s="60">
        <f t="shared" ref="D188:Z188" si="195">IF(D$2&lt;global0.5,D$69*SUM((1-fuel_type1_scrubbed_ship6)*(ship6_fuel_type1+IF(D$2&lt;=global0.5,D$68*ship6_fuel_type1_added,ship6_fuel_type1_added))*D$8,(1-fuel_type2_scrubbed_ship6)*(ship6_fuel_type2+IF(D$2&lt;=global0.5,D$68*ship6_fuel_type2_added,ship6_fuel_type2_added))*D$20,(1-fuel_type3_scrubbed_ship6)*(ship6_fuel_type3+IF(D$2&lt;=global0.5,D$68*ship6_fuel_type3_added,ship6_fuel_type3_added))*D$32+(1-fuel_type4_scrubbed_ship6)*(ship6_fuel_type4+IF(D$2&lt;=global0.5,D$68*ship6_fuel_type4_added,ship6_fuel_type4_added))*D$44),D$69*(SUM((1-fuel_type1_scrubbed_ship6)*(ship6_fuel_type1+IF(D$2&lt;=global0.5,D$68*ship6_fuel_type1_added,ship6_fuel_type1_added))*fuel_type1_cal0.5*D$10,(1-fuel_type2_scrubbed_ship6)*(ship6_fuel_type2+IF(D$2&lt;=global0.5,D$68*ship6_fuel_type2_added,ship6_fuel_type2_added))*fuel_type2_cal0.5*D$22,(1-fuel_type3_scrubbed_ship6)*(ship6_fuel_type3+IF(D$2&lt;=global0.5,D$68*ship6_fuel_type3_added,ship6_fuel_type3_added))*fuel_type3_cal0.5*D$34+(1-fuel_type4_scrubbed_ship6)*fuel_type4_cal0.5*(ship6_fuel_type4+IF(D$2&lt;=global0.5,D$68*ship6_fuel_type4_added,ship6_fuel_type4_added))*D$46)))</f>
        <v>0</v>
      </c>
      <c r="E188" s="60">
        <f t="shared" si="195"/>
        <v>0</v>
      </c>
      <c r="F188" s="60">
        <f t="shared" si="195"/>
        <v>0</v>
      </c>
      <c r="G188" s="60">
        <f t="shared" si="195"/>
        <v>0</v>
      </c>
      <c r="H188" s="60">
        <f t="shared" si="195"/>
        <v>0</v>
      </c>
      <c r="I188" s="60">
        <f t="shared" si="195"/>
        <v>0</v>
      </c>
      <c r="J188" s="60">
        <f t="shared" si="195"/>
        <v>0</v>
      </c>
      <c r="K188" s="60">
        <f t="shared" si="195"/>
        <v>0</v>
      </c>
      <c r="L188" s="60">
        <f t="shared" si="195"/>
        <v>0</v>
      </c>
      <c r="M188" s="60">
        <f t="shared" si="195"/>
        <v>0</v>
      </c>
      <c r="N188" s="60">
        <f t="shared" si="195"/>
        <v>0</v>
      </c>
      <c r="O188" s="60">
        <f t="shared" si="195"/>
        <v>0</v>
      </c>
      <c r="P188" s="60">
        <f t="shared" si="195"/>
        <v>0</v>
      </c>
      <c r="Q188" s="60">
        <f t="shared" si="195"/>
        <v>0</v>
      </c>
      <c r="R188" s="60">
        <f t="shared" si="195"/>
        <v>0</v>
      </c>
      <c r="S188" s="60">
        <f t="shared" si="195"/>
        <v>0</v>
      </c>
      <c r="T188" s="60">
        <f t="shared" si="195"/>
        <v>0</v>
      </c>
      <c r="U188" s="60">
        <f t="shared" si="195"/>
        <v>0</v>
      </c>
      <c r="V188" s="60">
        <f t="shared" si="195"/>
        <v>0</v>
      </c>
      <c r="W188" s="60">
        <f t="shared" si="195"/>
        <v>0</v>
      </c>
      <c r="X188" s="60">
        <f t="shared" si="195"/>
        <v>0</v>
      </c>
      <c r="Y188" s="60">
        <f t="shared" si="195"/>
        <v>0</v>
      </c>
      <c r="Z188" s="60">
        <f t="shared" si="195"/>
        <v>0</v>
      </c>
      <c r="AB188" s="61">
        <f t="shared" si="159"/>
        <v>0</v>
      </c>
      <c r="AC188" s="60">
        <f t="shared" si="160"/>
        <v>0</v>
      </c>
      <c r="AD188" s="62">
        <f t="shared" si="161"/>
        <v>0</v>
      </c>
    </row>
    <row r="189" spans="1:30" ht="13.5" thickBot="1" x14ac:dyDescent="0.25">
      <c r="A189" s="244"/>
      <c r="B189" s="244"/>
      <c r="C189" s="71" t="s">
        <v>19</v>
      </c>
      <c r="D189" s="63">
        <f t="shared" ref="D189:Z189" si="196">IF(D$2&lt;global0.5,D$69*SUM((1-fuel_type1_scrubbed_ship6)*(ship6_fuel_type1+IF(D$2&lt;=global0.5,D$68*ship6_fuel_type1_added,ship6_fuel_type1_added))*D$12,(1-fuel_type2_scrubbed_ship6)*(ship6_fuel_type2+IF(D$2&lt;=global0.5,D$68*ship6_fuel_type2_added,ship6_fuel_type2_added))*D$24,(1-fuel_type3_scrubbed_ship6)*(ship6_fuel_type3+IF(D$2&lt;=global0.5,D$68*ship6_fuel_type3_added,ship6_fuel_type3_added))*D$36+(1-fuel_type4_scrubbed_ship6)*(ship6_fuel_type4+IF(D$2&lt;=global0.5,D$68*ship6_fuel_type4_added,ship6_fuel_type4_added))*D$48),D$69*(SUM((1-fuel_type1_scrubbed_ship6)*(ship6_fuel_type1+IF(D$2&lt;=global0.5,D$68*ship6_fuel_type1_added,ship6_fuel_type1_added))*fuel_type1_cal0.5*D$14,(1-fuel_type2_scrubbed_ship6)*(ship6_fuel_type2+IF(D$2&lt;=global0.5,D$68*ship6_fuel_type2_added,ship6_fuel_type2_added))*fuel_type2_cal0.5*D$26,(1-fuel_type3_scrubbed_ship6)*(ship6_fuel_type3+IF(D$2&lt;=global0.5,D$68*ship6_fuel_type3_added,ship6_fuel_type3_added))*fuel_type3_cal0.5*D$38+(1-fuel_type4_scrubbed_ship6)*fuel_type4_cal0.5*(ship6_fuel_type4+IF(D$2&lt;=global0.5,D$68*ship6_fuel_type4_added,ship6_fuel_type4_added))*D$50)))</f>
        <v>0</v>
      </c>
      <c r="E189" s="63">
        <f t="shared" si="196"/>
        <v>0</v>
      </c>
      <c r="F189" s="63">
        <f t="shared" si="196"/>
        <v>0</v>
      </c>
      <c r="G189" s="63">
        <f t="shared" si="196"/>
        <v>0</v>
      </c>
      <c r="H189" s="63">
        <f t="shared" si="196"/>
        <v>0</v>
      </c>
      <c r="I189" s="63">
        <f t="shared" si="196"/>
        <v>0</v>
      </c>
      <c r="J189" s="63">
        <f t="shared" si="196"/>
        <v>0</v>
      </c>
      <c r="K189" s="63">
        <f t="shared" si="196"/>
        <v>0</v>
      </c>
      <c r="L189" s="63">
        <f t="shared" si="196"/>
        <v>0</v>
      </c>
      <c r="M189" s="63">
        <f t="shared" si="196"/>
        <v>0</v>
      </c>
      <c r="N189" s="63">
        <f t="shared" si="196"/>
        <v>0</v>
      </c>
      <c r="O189" s="63">
        <f t="shared" si="196"/>
        <v>0</v>
      </c>
      <c r="P189" s="63">
        <f t="shared" si="196"/>
        <v>0</v>
      </c>
      <c r="Q189" s="63">
        <f t="shared" si="196"/>
        <v>0</v>
      </c>
      <c r="R189" s="63">
        <f t="shared" si="196"/>
        <v>0</v>
      </c>
      <c r="S189" s="63">
        <f t="shared" si="196"/>
        <v>0</v>
      </c>
      <c r="T189" s="63">
        <f t="shared" si="196"/>
        <v>0</v>
      </c>
      <c r="U189" s="63">
        <f t="shared" si="196"/>
        <v>0</v>
      </c>
      <c r="V189" s="63">
        <f t="shared" si="196"/>
        <v>0</v>
      </c>
      <c r="W189" s="63">
        <f t="shared" si="196"/>
        <v>0</v>
      </c>
      <c r="X189" s="63">
        <f t="shared" si="196"/>
        <v>0</v>
      </c>
      <c r="Y189" s="63">
        <f t="shared" si="196"/>
        <v>0</v>
      </c>
      <c r="Z189" s="63">
        <f t="shared" si="196"/>
        <v>0</v>
      </c>
      <c r="AB189" s="68">
        <f t="shared" si="159"/>
        <v>0</v>
      </c>
      <c r="AC189" s="69">
        <f t="shared" si="160"/>
        <v>0</v>
      </c>
      <c r="AD189" s="70">
        <f t="shared" si="161"/>
        <v>0</v>
      </c>
    </row>
    <row r="190" spans="1:30" x14ac:dyDescent="0.2">
      <c r="A190" s="249" t="s">
        <v>41</v>
      </c>
      <c r="B190" s="249">
        <f>ship1</f>
        <v>0</v>
      </c>
      <c r="C190" s="72" t="s">
        <v>17</v>
      </c>
      <c r="D190" s="56">
        <f t="shared" ref="D190:Z190" si="197">IF(D$2&lt;2015,D$58*(SUM((1-fuel_type1_scrubbed_ship1)*(ship1_fuel_type1+IF(D$2&lt;=global0.5,D$58*ship1_fuel_type1_added,ship1_fuel_type1_added))*fuel_type1_cal1.0*D$5,(1-fuel_type2_scrubbed_ship1)*(ship1_fuel_type2+IF(D$2&lt;=global0.5,D$58*ship1_fuel_type2_added,ship1_fuel_type2_added))*fuel_type2_cal1.0*D$17,(1-fuel_type3_scrubbed_ship1)*(ship1_fuel_type3+IF(D$2&lt;=global0.5,D$58*ship1_fuel_type3_added,ship1_fuel_type3_added))*fuel_type3_cal1.0*D$29+(1-fuel_type4_scrubbed_ship1)*(ship1_fuel_type4+IF(D$2&lt;=global0.5,D$58*ship1_fuel_type4_added,ship1_fuel_type4_added))*fuel_type4_cal1.0*D$41)),D$58*(SUM((1-fuel_type1_scrubbed_ship1)*(ship1_fuel_type1+IF(D$2&lt;=global0.5,D$58*ship1_fuel_type1_added,ship1_fuel_type1_added))
*fuel_type1_cal0.1*D$7,(1-fuel_type2_scrubbed_ship1)*(ship1_fuel_type2+IF(D$2&lt;=global0.5,D$58*ship1_fuel_type2_added,ship1_fuel_type2_added))*fuel_type2_cal0.1*D$19,(1-fuel_type3_scrubbed_ship1)*(ship1_fuel_type3+IF(D$2&lt;=global0.5,D$58*ship1_fuel_type3_added,ship1_fuel_type3_added))*fuel_type3_cal0.1*D$31+(1-fuel_type4_scrubbed_ship1)*(ship1_fuel_type4+IF(D$2&lt;=global0.5,D$58*ship1_fuel_type4_added,ship1_fuel_type4_added))*fuel_type4_cal0.1*D$43)))</f>
        <v>0</v>
      </c>
      <c r="E190" s="56">
        <f t="shared" si="197"/>
        <v>0</v>
      </c>
      <c r="F190" s="56">
        <f t="shared" si="197"/>
        <v>0</v>
      </c>
      <c r="G190" s="56">
        <f t="shared" si="197"/>
        <v>0</v>
      </c>
      <c r="H190" s="56">
        <f t="shared" si="197"/>
        <v>0</v>
      </c>
      <c r="I190" s="56">
        <f t="shared" si="197"/>
        <v>0</v>
      </c>
      <c r="J190" s="56">
        <f t="shared" si="197"/>
        <v>0</v>
      </c>
      <c r="K190" s="56">
        <f t="shared" si="197"/>
        <v>0</v>
      </c>
      <c r="L190" s="56">
        <f t="shared" si="197"/>
        <v>0</v>
      </c>
      <c r="M190" s="56">
        <f t="shared" si="197"/>
        <v>0</v>
      </c>
      <c r="N190" s="56">
        <f t="shared" si="197"/>
        <v>0</v>
      </c>
      <c r="O190" s="56">
        <f t="shared" si="197"/>
        <v>0</v>
      </c>
      <c r="P190" s="56">
        <f t="shared" si="197"/>
        <v>0</v>
      </c>
      <c r="Q190" s="56">
        <f t="shared" si="197"/>
        <v>0</v>
      </c>
      <c r="R190" s="56">
        <f t="shared" si="197"/>
        <v>0</v>
      </c>
      <c r="S190" s="56">
        <f t="shared" si="197"/>
        <v>0</v>
      </c>
      <c r="T190" s="56">
        <f t="shared" si="197"/>
        <v>0</v>
      </c>
      <c r="U190" s="56">
        <f t="shared" si="197"/>
        <v>0</v>
      </c>
      <c r="V190" s="56">
        <f t="shared" si="197"/>
        <v>0</v>
      </c>
      <c r="W190" s="56">
        <f t="shared" si="197"/>
        <v>0</v>
      </c>
      <c r="X190" s="56">
        <f t="shared" si="197"/>
        <v>0</v>
      </c>
      <c r="Y190" s="56">
        <f t="shared" si="197"/>
        <v>0</v>
      </c>
      <c r="Z190" s="56">
        <f t="shared" si="197"/>
        <v>0</v>
      </c>
      <c r="AB190" s="57">
        <f t="shared" si="159"/>
        <v>0</v>
      </c>
      <c r="AC190" s="58">
        <f t="shared" si="160"/>
        <v>0</v>
      </c>
      <c r="AD190" s="59">
        <f t="shared" si="161"/>
        <v>0</v>
      </c>
    </row>
    <row r="191" spans="1:30" x14ac:dyDescent="0.2">
      <c r="A191" s="249"/>
      <c r="B191" s="249"/>
      <c r="C191" s="72" t="s">
        <v>18</v>
      </c>
      <c r="D191" s="60">
        <f t="shared" ref="D191:Z191" si="198">IF(D$2&lt;2015,D$58*(SUM((1-fuel_type1_scrubbed_ship1)*(ship1_fuel_type1+IF(D$2&lt;=global0.5,D$58*ship1_fuel_type1_added,ship1_fuel_type1_added))*fuel_type1_cal1.0*D$9,(1-fuel_type2_scrubbed_ship1)*(ship1_fuel_type2+IF(D$2&lt;=global0.5,D$58*ship1_fuel_type2_added,ship1_fuel_type2_added))*fuel_type2_cal1.0*D$21,(1-fuel_type3_scrubbed_ship1)*(ship1_fuel_type3+IF(D$2&lt;=global0.5,D$58*ship1_fuel_type3_added,ship1_fuel_type3_added))*fuel_type3_cal1.0*D$33+(1-fuel_type4_scrubbed_ship1)*(ship1_fuel_type4+IF(D$2&lt;=global0.5,D$58*ship1_fuel_type4_added,ship1_fuel_type4_added))*fuel_type4_cal1.0*D$45)),D$58*(SUM((1-fuel_type1_scrubbed_ship1)*(ship1_fuel_type1+IF(D$2&lt;=global0.5,D$58*ship1_fuel_type1_added,ship1_fuel_type1_added))
*fuel_type1_cal0.1*D$11,(1-fuel_type2_scrubbed_ship1)*(ship1_fuel_type2+IF(D$2&lt;=global0.5,D$58*ship1_fuel_type2_added,ship1_fuel_type2_added))*fuel_type2_cal0.1*D$23,(1-fuel_type3_scrubbed_ship1)*(ship1_fuel_type3+IF(D$2&lt;=global0.5,D$58*ship1_fuel_type3_added,ship1_fuel_type3_added))*fuel_type3_cal0.1*D$35+(1-fuel_type4_scrubbed_ship1)*(ship1_fuel_type4+IF(D$2&lt;=global0.5,D$58*ship1_fuel_type4_added,ship1_fuel_type4_added))*fuel_type4_cal0.1*D$47)))</f>
        <v>0</v>
      </c>
      <c r="E191" s="60">
        <f t="shared" si="198"/>
        <v>0</v>
      </c>
      <c r="F191" s="60">
        <f t="shared" si="198"/>
        <v>0</v>
      </c>
      <c r="G191" s="60">
        <f t="shared" si="198"/>
        <v>0</v>
      </c>
      <c r="H191" s="60">
        <f t="shared" si="198"/>
        <v>0</v>
      </c>
      <c r="I191" s="60">
        <f t="shared" si="198"/>
        <v>0</v>
      </c>
      <c r="J191" s="60">
        <f t="shared" si="198"/>
        <v>0</v>
      </c>
      <c r="K191" s="60">
        <f t="shared" si="198"/>
        <v>0</v>
      </c>
      <c r="L191" s="60">
        <f t="shared" si="198"/>
        <v>0</v>
      </c>
      <c r="M191" s="60">
        <f t="shared" si="198"/>
        <v>0</v>
      </c>
      <c r="N191" s="60">
        <f t="shared" si="198"/>
        <v>0</v>
      </c>
      <c r="O191" s="60">
        <f t="shared" si="198"/>
        <v>0</v>
      </c>
      <c r="P191" s="60">
        <f t="shared" si="198"/>
        <v>0</v>
      </c>
      <c r="Q191" s="60">
        <f t="shared" si="198"/>
        <v>0</v>
      </c>
      <c r="R191" s="60">
        <f t="shared" si="198"/>
        <v>0</v>
      </c>
      <c r="S191" s="60">
        <f t="shared" si="198"/>
        <v>0</v>
      </c>
      <c r="T191" s="60">
        <f t="shared" si="198"/>
        <v>0</v>
      </c>
      <c r="U191" s="60">
        <f t="shared" si="198"/>
        <v>0</v>
      </c>
      <c r="V191" s="60">
        <f t="shared" si="198"/>
        <v>0</v>
      </c>
      <c r="W191" s="60">
        <f t="shared" si="198"/>
        <v>0</v>
      </c>
      <c r="X191" s="60">
        <f t="shared" si="198"/>
        <v>0</v>
      </c>
      <c r="Y191" s="60">
        <f t="shared" si="198"/>
        <v>0</v>
      </c>
      <c r="Z191" s="60">
        <f t="shared" si="198"/>
        <v>0</v>
      </c>
      <c r="AB191" s="61">
        <f t="shared" si="159"/>
        <v>0</v>
      </c>
      <c r="AC191" s="60">
        <f t="shared" si="160"/>
        <v>0</v>
      </c>
      <c r="AD191" s="62">
        <f t="shared" si="161"/>
        <v>0</v>
      </c>
    </row>
    <row r="192" spans="1:30" x14ac:dyDescent="0.2">
      <c r="A192" s="249"/>
      <c r="B192" s="249"/>
      <c r="C192" s="72" t="s">
        <v>19</v>
      </c>
      <c r="D192" s="63">
        <f t="shared" ref="D192:Z192" si="199">IF(D$2&lt;2015,D$58*(SUM((1-fuel_type1_scrubbed_ship1)*(ship1_fuel_type1+IF(D$2&lt;=global0.5,D$58*ship1_fuel_type1_added,ship1_fuel_type1_added))*fuel_type1_cal1.0*D$13,(1-fuel_type2_scrubbed_ship1)*(ship1_fuel_type2+IF(D$2&lt;=global0.5,D$58*ship1_fuel_type2_added,ship1_fuel_type2_added))*fuel_type2_cal1.0*D$25,(1-fuel_type3_scrubbed_ship1)*(ship1_fuel_type3+IF(D$2&lt;=global0.5,D$58*ship1_fuel_type3_added,ship1_fuel_type3_added))*fuel_type3_cal1.0*D$37+(1-fuel_type4_scrubbed_ship1)*(ship1_fuel_type4+IF(D$2&lt;=global0.5,D$58*ship1_fuel_type4_added,ship1_fuel_type4_added))*fuel_type4_cal1.0*D$49)),D$58*(SUM((1-fuel_type1_scrubbed_ship1)*(ship1_fuel_type1+IF(D$2&lt;=global0.5,D$58*ship1_fuel_type1_added,ship1_fuel_type1_added))
*fuel_type1_cal0.1*D$15,(1-fuel_type2_scrubbed_ship1)*(ship1_fuel_type2+IF(D$2&lt;=global0.5,D$58*ship1_fuel_type2_added,ship1_fuel_type2_added))*fuel_type2_cal0.1*D$27,(1-fuel_type3_scrubbed_ship1)*(ship1_fuel_type3+IF(D$2&lt;=global0.5,D$58*ship1_fuel_type3_added,ship1_fuel_type3_added))*fuel_type3_cal0.1*D$39+(1-fuel_type4_scrubbed_ship1)*(ship1_fuel_type4+IF(D$2&lt;=global0.5,D$58*ship1_fuel_type4_added,ship1_fuel_type4_added))*fuel_type4_cal0.1*D$51)))</f>
        <v>0</v>
      </c>
      <c r="E192" s="63">
        <f t="shared" si="199"/>
        <v>0</v>
      </c>
      <c r="F192" s="63">
        <f t="shared" si="199"/>
        <v>0</v>
      </c>
      <c r="G192" s="63">
        <f t="shared" si="199"/>
        <v>0</v>
      </c>
      <c r="H192" s="63">
        <f t="shared" si="199"/>
        <v>0</v>
      </c>
      <c r="I192" s="63">
        <f t="shared" si="199"/>
        <v>0</v>
      </c>
      <c r="J192" s="63">
        <f t="shared" si="199"/>
        <v>0</v>
      </c>
      <c r="K192" s="63">
        <f t="shared" si="199"/>
        <v>0</v>
      </c>
      <c r="L192" s="63">
        <f t="shared" si="199"/>
        <v>0</v>
      </c>
      <c r="M192" s="63">
        <f t="shared" si="199"/>
        <v>0</v>
      </c>
      <c r="N192" s="63">
        <f t="shared" si="199"/>
        <v>0</v>
      </c>
      <c r="O192" s="63">
        <f t="shared" si="199"/>
        <v>0</v>
      </c>
      <c r="P192" s="63">
        <f t="shared" si="199"/>
        <v>0</v>
      </c>
      <c r="Q192" s="63">
        <f t="shared" si="199"/>
        <v>0</v>
      </c>
      <c r="R192" s="63">
        <f t="shared" si="199"/>
        <v>0</v>
      </c>
      <c r="S192" s="63">
        <f t="shared" si="199"/>
        <v>0</v>
      </c>
      <c r="T192" s="63">
        <f t="shared" si="199"/>
        <v>0</v>
      </c>
      <c r="U192" s="63">
        <f t="shared" si="199"/>
        <v>0</v>
      </c>
      <c r="V192" s="63">
        <f t="shared" si="199"/>
        <v>0</v>
      </c>
      <c r="W192" s="63">
        <f t="shared" si="199"/>
        <v>0</v>
      </c>
      <c r="X192" s="63">
        <f t="shared" si="199"/>
        <v>0</v>
      </c>
      <c r="Y192" s="63">
        <f t="shared" si="199"/>
        <v>0</v>
      </c>
      <c r="Z192" s="63">
        <f t="shared" si="199"/>
        <v>0</v>
      </c>
      <c r="AB192" s="64">
        <f t="shared" si="159"/>
        <v>0</v>
      </c>
      <c r="AC192" s="63">
        <f t="shared" si="160"/>
        <v>0</v>
      </c>
      <c r="AD192" s="65">
        <f t="shared" si="161"/>
        <v>0</v>
      </c>
    </row>
    <row r="193" spans="1:30" x14ac:dyDescent="0.2">
      <c r="A193" s="249"/>
      <c r="B193" s="249">
        <f>ship2</f>
        <v>0</v>
      </c>
      <c r="C193" s="72" t="s">
        <v>17</v>
      </c>
      <c r="D193" s="56">
        <f t="shared" ref="D193:Z193" si="200">IF(D$2&lt;2015,D$60*(SUM((1-fuel_type1_scrubbed_ship2)*(ship2_fuel_type1+IF(D$2&lt;=global0.5,D$60*ship2_fuel_type1_added,ship2_fuel_type1_added))*fuel_type1_cal1.0*D$5,(1-fuel_type2_scrubbed_ship2)*(ship2_fuel_type2+IF(D$2&lt;=global0.5,D$60*ship2_fuel_type2_added,ship2_fuel_type2_added))*fuel_type2_cal1.0*D$17,(1-fuel_type3_scrubbed_ship2)*(ship2_fuel_type3+IF(D$2&lt;=global0.5,D$60*ship2_fuel_type3_added,ship2_fuel_type3_added))*fuel_type3_cal1.0*D$29+(1-fuel_type4_scrubbed_ship2)*(ship2_fuel_type4+IF(D$2&lt;=global0.5,D$60*ship2_fuel_type4_added,ship2_fuel_type4_added))*fuel_type4_cal1.0*D$41)),D$60*(SUM((1-fuel_type1_scrubbed_ship2)*(ship2_fuel_type1+IF(D$2&lt;=global0.5,D$60*ship2_fuel_type1_added,ship2_fuel_type1_added))
*fuel_type1_cal0.1*D$7,(1-fuel_type2_scrubbed_ship2)*(ship2_fuel_type2+IF(D$2&lt;=global0.5,D$60*ship2_fuel_type2_added,ship2_fuel_type2_added))*fuel_type2_cal0.1*D$19,(1-fuel_type3_scrubbed_ship2)*(ship2_fuel_type3+IF(D$2&lt;=global0.5,D$60*ship2_fuel_type3_added,ship2_fuel_type3_added))*fuel_type3_cal0.1*D$31+(1-fuel_type4_scrubbed_ship2)*(ship2_fuel_type4+IF(D$2&lt;=global0.5,D$60*ship2_fuel_type4_added,ship2_fuel_type4_added))*fuel_type4_cal0.1*D$43)))</f>
        <v>0</v>
      </c>
      <c r="E193" s="56">
        <f t="shared" si="200"/>
        <v>0</v>
      </c>
      <c r="F193" s="56">
        <f t="shared" si="200"/>
        <v>0</v>
      </c>
      <c r="G193" s="56">
        <f t="shared" si="200"/>
        <v>0</v>
      </c>
      <c r="H193" s="56">
        <f t="shared" si="200"/>
        <v>0</v>
      </c>
      <c r="I193" s="56">
        <f t="shared" si="200"/>
        <v>0</v>
      </c>
      <c r="J193" s="56">
        <f t="shared" si="200"/>
        <v>0</v>
      </c>
      <c r="K193" s="56">
        <f t="shared" si="200"/>
        <v>0</v>
      </c>
      <c r="L193" s="56">
        <f t="shared" si="200"/>
        <v>0</v>
      </c>
      <c r="M193" s="56">
        <f t="shared" si="200"/>
        <v>0</v>
      </c>
      <c r="N193" s="56">
        <f t="shared" si="200"/>
        <v>0</v>
      </c>
      <c r="O193" s="56">
        <f t="shared" si="200"/>
        <v>0</v>
      </c>
      <c r="P193" s="56">
        <f t="shared" si="200"/>
        <v>0</v>
      </c>
      <c r="Q193" s="56">
        <f t="shared" si="200"/>
        <v>0</v>
      </c>
      <c r="R193" s="56">
        <f t="shared" si="200"/>
        <v>0</v>
      </c>
      <c r="S193" s="56">
        <f t="shared" si="200"/>
        <v>0</v>
      </c>
      <c r="T193" s="56">
        <f t="shared" si="200"/>
        <v>0</v>
      </c>
      <c r="U193" s="56">
        <f t="shared" si="200"/>
        <v>0</v>
      </c>
      <c r="V193" s="56">
        <f t="shared" si="200"/>
        <v>0</v>
      </c>
      <c r="W193" s="56">
        <f t="shared" si="200"/>
        <v>0</v>
      </c>
      <c r="X193" s="56">
        <f t="shared" si="200"/>
        <v>0</v>
      </c>
      <c r="Y193" s="56">
        <f t="shared" si="200"/>
        <v>0</v>
      </c>
      <c r="Z193" s="56">
        <f t="shared" si="200"/>
        <v>0</v>
      </c>
      <c r="AB193" s="66">
        <f t="shared" si="159"/>
        <v>0</v>
      </c>
      <c r="AC193" s="56">
        <f t="shared" si="160"/>
        <v>0</v>
      </c>
      <c r="AD193" s="67">
        <f t="shared" si="161"/>
        <v>0</v>
      </c>
    </row>
    <row r="194" spans="1:30" x14ac:dyDescent="0.2">
      <c r="A194" s="249"/>
      <c r="B194" s="249"/>
      <c r="C194" s="72" t="s">
        <v>18</v>
      </c>
      <c r="D194" s="60">
        <f t="shared" ref="D194:Z194" si="201">IF(D$2&lt;2015,D$60*(SUM((1-fuel_type1_scrubbed_ship2)*(ship2_fuel_type1+IF(D$2&lt;=global0.5,D$60*ship2_fuel_type1_added,ship2_fuel_type1_added))*fuel_type1_cal1.0*D$9,(1-fuel_type2_scrubbed_ship2)*(ship2_fuel_type2+IF(D$2&lt;=global0.5,D$60*ship2_fuel_type2_added,ship2_fuel_type2_added))*fuel_type2_cal1.0*D$21,(1-fuel_type3_scrubbed_ship2)*(ship2_fuel_type3+IF(D$2&lt;=global0.5,D$60*ship2_fuel_type3_added,ship2_fuel_type3_added))*fuel_type3_cal1.0*D$33+(1-fuel_type4_scrubbed_ship2)*(ship2_fuel_type4+IF(D$2&lt;=global0.5,D$60*ship2_fuel_type4_added,ship2_fuel_type4_added))*fuel_type4_cal1.0*D$45)),D$60*(SUM((1-fuel_type1_scrubbed_ship2)*(ship2_fuel_type1+IF(D$2&lt;=global0.5,D$60*ship2_fuel_type1_added,ship2_fuel_type1_added))
*fuel_type1_cal0.1*D$11,(1-fuel_type2_scrubbed_ship2)*(ship2_fuel_type2+IF(D$2&lt;=global0.5,D$60*ship2_fuel_type2_added,ship2_fuel_type2_added))*fuel_type2_cal0.1*D$23,(1-fuel_type3_scrubbed_ship2)*(ship2_fuel_type3+IF(D$2&lt;=global0.5,D$60*ship2_fuel_type3_added,ship2_fuel_type3_added))*fuel_type3_cal0.1*D$35+(1-fuel_type4_scrubbed_ship2)*(ship2_fuel_type4+IF(D$2&lt;=global0.5,D$60*ship2_fuel_type4_added,ship2_fuel_type4_added))*fuel_type4_cal0.1*D$47)))</f>
        <v>0</v>
      </c>
      <c r="E194" s="60">
        <f t="shared" si="201"/>
        <v>0</v>
      </c>
      <c r="F194" s="60">
        <f t="shared" si="201"/>
        <v>0</v>
      </c>
      <c r="G194" s="60">
        <f t="shared" si="201"/>
        <v>0</v>
      </c>
      <c r="H194" s="60">
        <f t="shared" si="201"/>
        <v>0</v>
      </c>
      <c r="I194" s="60">
        <f t="shared" si="201"/>
        <v>0</v>
      </c>
      <c r="J194" s="60">
        <f t="shared" si="201"/>
        <v>0</v>
      </c>
      <c r="K194" s="60">
        <f t="shared" si="201"/>
        <v>0</v>
      </c>
      <c r="L194" s="60">
        <f t="shared" si="201"/>
        <v>0</v>
      </c>
      <c r="M194" s="60">
        <f t="shared" si="201"/>
        <v>0</v>
      </c>
      <c r="N194" s="60">
        <f t="shared" si="201"/>
        <v>0</v>
      </c>
      <c r="O194" s="60">
        <f t="shared" si="201"/>
        <v>0</v>
      </c>
      <c r="P194" s="60">
        <f t="shared" si="201"/>
        <v>0</v>
      </c>
      <c r="Q194" s="60">
        <f t="shared" si="201"/>
        <v>0</v>
      </c>
      <c r="R194" s="60">
        <f t="shared" si="201"/>
        <v>0</v>
      </c>
      <c r="S194" s="60">
        <f t="shared" si="201"/>
        <v>0</v>
      </c>
      <c r="T194" s="60">
        <f t="shared" si="201"/>
        <v>0</v>
      </c>
      <c r="U194" s="60">
        <f t="shared" si="201"/>
        <v>0</v>
      </c>
      <c r="V194" s="60">
        <f t="shared" si="201"/>
        <v>0</v>
      </c>
      <c r="W194" s="60">
        <f t="shared" si="201"/>
        <v>0</v>
      </c>
      <c r="X194" s="60">
        <f t="shared" si="201"/>
        <v>0</v>
      </c>
      <c r="Y194" s="60">
        <f t="shared" si="201"/>
        <v>0</v>
      </c>
      <c r="Z194" s="60">
        <f t="shared" si="201"/>
        <v>0</v>
      </c>
      <c r="AB194" s="61">
        <f t="shared" si="159"/>
        <v>0</v>
      </c>
      <c r="AC194" s="60">
        <f t="shared" si="160"/>
        <v>0</v>
      </c>
      <c r="AD194" s="62">
        <f t="shared" si="161"/>
        <v>0</v>
      </c>
    </row>
    <row r="195" spans="1:30" x14ac:dyDescent="0.2">
      <c r="A195" s="249"/>
      <c r="B195" s="249"/>
      <c r="C195" s="72" t="s">
        <v>19</v>
      </c>
      <c r="D195" s="63">
        <f t="shared" ref="D195:Z195" si="202">IF(D$2&lt;2015,D$60*(SUM((1-fuel_type1_scrubbed_ship2)*(ship2_fuel_type1+IF(D$2&lt;=global0.5,D$60*ship2_fuel_type1_added,ship2_fuel_type1_added))*fuel_type1_cal1.0*D$13,(1-fuel_type2_scrubbed_ship2)*(ship2_fuel_type2+IF(D$2&lt;=global0.5,D$60*ship2_fuel_type2_added,ship2_fuel_type2_added))*fuel_type2_cal1.0*D$25,(1-fuel_type3_scrubbed_ship2)*(ship2_fuel_type3+IF(D$2&lt;=global0.5,D$60*ship2_fuel_type3_added,ship2_fuel_type3_added))*fuel_type3_cal1.0*D$37+(1-fuel_type4_scrubbed_ship2)*(ship2_fuel_type4+IF(D$2&lt;=global0.5,D$60*ship2_fuel_type4_added,ship2_fuel_type4_added))*fuel_type4_cal1.0*D$49)),D$60*(SUM((1-fuel_type1_scrubbed_ship2)*(ship2_fuel_type1+IF(D$2&lt;=global0.5,D$60*ship2_fuel_type1_added,ship2_fuel_type1_added))
*fuel_type1_cal0.1*D$15,(1-fuel_type2_scrubbed_ship2)*(ship2_fuel_type2+IF(D$2&lt;=global0.5,D$60*ship2_fuel_type2_added,ship2_fuel_type2_added))*fuel_type2_cal0.1*D$27,(1-fuel_type3_scrubbed_ship2)*(ship2_fuel_type3+IF(D$2&lt;=global0.5,D$60*ship2_fuel_type3_added,ship2_fuel_type3_added))*fuel_type3_cal0.1*D$39+(1-fuel_type4_scrubbed_ship2)*(ship2_fuel_type4+IF(D$2&lt;=global0.5,D$60*ship2_fuel_type4_added,ship2_fuel_type4_added))*fuel_type4_cal0.1*D$51)))</f>
        <v>0</v>
      </c>
      <c r="E195" s="63">
        <f t="shared" si="202"/>
        <v>0</v>
      </c>
      <c r="F195" s="63">
        <f t="shared" si="202"/>
        <v>0</v>
      </c>
      <c r="G195" s="63">
        <f t="shared" si="202"/>
        <v>0</v>
      </c>
      <c r="H195" s="63">
        <f t="shared" si="202"/>
        <v>0</v>
      </c>
      <c r="I195" s="63">
        <f t="shared" si="202"/>
        <v>0</v>
      </c>
      <c r="J195" s="63">
        <f t="shared" si="202"/>
        <v>0</v>
      </c>
      <c r="K195" s="63">
        <f t="shared" si="202"/>
        <v>0</v>
      </c>
      <c r="L195" s="63">
        <f t="shared" si="202"/>
        <v>0</v>
      </c>
      <c r="M195" s="63">
        <f t="shared" si="202"/>
        <v>0</v>
      </c>
      <c r="N195" s="63">
        <f t="shared" si="202"/>
        <v>0</v>
      </c>
      <c r="O195" s="63">
        <f t="shared" si="202"/>
        <v>0</v>
      </c>
      <c r="P195" s="63">
        <f t="shared" si="202"/>
        <v>0</v>
      </c>
      <c r="Q195" s="63">
        <f t="shared" si="202"/>
        <v>0</v>
      </c>
      <c r="R195" s="63">
        <f t="shared" si="202"/>
        <v>0</v>
      </c>
      <c r="S195" s="63">
        <f t="shared" si="202"/>
        <v>0</v>
      </c>
      <c r="T195" s="63">
        <f t="shared" si="202"/>
        <v>0</v>
      </c>
      <c r="U195" s="63">
        <f t="shared" si="202"/>
        <v>0</v>
      </c>
      <c r="V195" s="63">
        <f t="shared" si="202"/>
        <v>0</v>
      </c>
      <c r="W195" s="63">
        <f t="shared" si="202"/>
        <v>0</v>
      </c>
      <c r="X195" s="63">
        <f t="shared" si="202"/>
        <v>0</v>
      </c>
      <c r="Y195" s="63">
        <f t="shared" si="202"/>
        <v>0</v>
      </c>
      <c r="Z195" s="63">
        <f t="shared" si="202"/>
        <v>0</v>
      </c>
      <c r="AB195" s="64">
        <f t="shared" si="159"/>
        <v>0</v>
      </c>
      <c r="AC195" s="63">
        <f t="shared" si="160"/>
        <v>0</v>
      </c>
      <c r="AD195" s="65">
        <f t="shared" si="161"/>
        <v>0</v>
      </c>
    </row>
    <row r="196" spans="1:30" x14ac:dyDescent="0.2">
      <c r="A196" s="249"/>
      <c r="B196" s="249">
        <f>ship3</f>
        <v>0</v>
      </c>
      <c r="C196" s="72" t="s">
        <v>17</v>
      </c>
      <c r="D196" s="56">
        <f t="shared" ref="D196:Z196" si="203">IF(D$2&lt;2015,D$62*(SUM((1-fuel_type1_scrubbed_ship3)*(ship3_fuel_type1+IF(D$2&lt;=global0.5,D$62*ship3_fuel_type1_added,ship3_fuel_type1_added))*fuel_type1_cal1.0*D$5,(1-fuel_type2_scrubbed_ship3)*(ship3_fuel_type2+IF(D$2&lt;=global0.5,D$62*ship3_fuel_type2_added,ship3_fuel_type2_added))*fuel_type2_cal1.0*D$17,(1-fuel_type3_scrubbed_ship3)*(ship3_fuel_type3+IF(D$2&lt;=global0.5,D$62*ship3_fuel_type3_added,ship3_fuel_type3_added))*fuel_type3_cal1.0*D$29+(1-fuel_type4_scrubbed_ship3)*(ship3_fuel_type4+IF(D$2&lt;=global0.5,D$62*ship3_fuel_type4_added,ship3_fuel_type4_added))*fuel_type4_cal1.0*D$41)),D$62*(SUM((1-fuel_type1_scrubbed_ship3)*(ship3_fuel_type1+IF(D$2&lt;=global0.5,D$62*ship3_fuel_type1_added,ship3_fuel_type1_added))
*fuel_type1_cal0.1*D$7,(1-fuel_type2_scrubbed_ship3)*(ship3_fuel_type2+IF(D$2&lt;=global0.5,D$62*ship3_fuel_type2_added,ship3_fuel_type2_added))*fuel_type2_cal0.1*D$19,(1-fuel_type3_scrubbed_ship3)*(ship3_fuel_type3+IF(D$2&lt;=global0.5,D$62*ship3_fuel_type3_added,ship3_fuel_type3_added))*fuel_type3_cal0.1*D$31+(1-fuel_type4_scrubbed_ship3)*(ship3_fuel_type4+IF(D$2&lt;=global0.5,D$62*ship3_fuel_type4_added,ship3_fuel_type4_added))*fuel_type4_cal0.1*D$43)))</f>
        <v>0</v>
      </c>
      <c r="E196" s="56">
        <f t="shared" si="203"/>
        <v>0</v>
      </c>
      <c r="F196" s="56">
        <f t="shared" si="203"/>
        <v>0</v>
      </c>
      <c r="G196" s="56">
        <f t="shared" si="203"/>
        <v>0</v>
      </c>
      <c r="H196" s="56">
        <f t="shared" si="203"/>
        <v>0</v>
      </c>
      <c r="I196" s="56">
        <f t="shared" si="203"/>
        <v>0</v>
      </c>
      <c r="J196" s="56">
        <f t="shared" si="203"/>
        <v>0</v>
      </c>
      <c r="K196" s="56">
        <f t="shared" si="203"/>
        <v>0</v>
      </c>
      <c r="L196" s="56">
        <f t="shared" si="203"/>
        <v>0</v>
      </c>
      <c r="M196" s="56">
        <f t="shared" si="203"/>
        <v>0</v>
      </c>
      <c r="N196" s="56">
        <f t="shared" si="203"/>
        <v>0</v>
      </c>
      <c r="O196" s="56">
        <f t="shared" si="203"/>
        <v>0</v>
      </c>
      <c r="P196" s="56">
        <f t="shared" si="203"/>
        <v>0</v>
      </c>
      <c r="Q196" s="56">
        <f t="shared" si="203"/>
        <v>0</v>
      </c>
      <c r="R196" s="56">
        <f t="shared" si="203"/>
        <v>0</v>
      </c>
      <c r="S196" s="56">
        <f t="shared" si="203"/>
        <v>0</v>
      </c>
      <c r="T196" s="56">
        <f t="shared" si="203"/>
        <v>0</v>
      </c>
      <c r="U196" s="56">
        <f t="shared" si="203"/>
        <v>0</v>
      </c>
      <c r="V196" s="56">
        <f t="shared" si="203"/>
        <v>0</v>
      </c>
      <c r="W196" s="56">
        <f t="shared" si="203"/>
        <v>0</v>
      </c>
      <c r="X196" s="56">
        <f t="shared" si="203"/>
        <v>0</v>
      </c>
      <c r="Y196" s="56">
        <f t="shared" si="203"/>
        <v>0</v>
      </c>
      <c r="Z196" s="56">
        <f t="shared" si="203"/>
        <v>0</v>
      </c>
      <c r="AB196" s="66">
        <f t="shared" si="159"/>
        <v>0</v>
      </c>
      <c r="AC196" s="56">
        <f t="shared" si="160"/>
        <v>0</v>
      </c>
      <c r="AD196" s="67">
        <f t="shared" si="161"/>
        <v>0</v>
      </c>
    </row>
    <row r="197" spans="1:30" x14ac:dyDescent="0.2">
      <c r="A197" s="249"/>
      <c r="B197" s="249"/>
      <c r="C197" s="72" t="s">
        <v>18</v>
      </c>
      <c r="D197" s="60">
        <f t="shared" ref="D197:Z197" si="204">IF(D$2&lt;2015,D$62*(SUM((1-fuel_type1_scrubbed_ship3)*(ship3_fuel_type1+IF(D$2&lt;=global0.5,D$62*ship3_fuel_type1_added,ship3_fuel_type1_added))*fuel_type1_cal1.0*D$9,(1-fuel_type2_scrubbed_ship3)*(ship3_fuel_type2+IF(D$2&lt;=global0.5,D$62*ship3_fuel_type2_added,ship3_fuel_type2_added))*fuel_type2_cal1.0*D$21,(1-fuel_type3_scrubbed_ship3)*(ship3_fuel_type3+IF(D$2&lt;=global0.5,D$62*ship3_fuel_type3_added,ship3_fuel_type3_added))*fuel_type3_cal1.0*D$33+(1-fuel_type4_scrubbed_ship3)*(ship3_fuel_type4+IF(D$2&lt;=global0.5,D$62*ship3_fuel_type4_added,ship3_fuel_type4_added))*fuel_type4_cal1.0*D$45)),D$62*(SUM((1-fuel_type1_scrubbed_ship3)*(ship3_fuel_type1+IF(D$2&lt;=global0.5,D$62*ship3_fuel_type1_added,ship3_fuel_type1_added))
*fuel_type1_cal0.1*D$11,(1-fuel_type2_scrubbed_ship3)*(ship3_fuel_type2+IF(D$2&lt;=global0.5,D$62*ship3_fuel_type2_added,ship3_fuel_type2_added))*fuel_type2_cal0.1*D$23,(1-fuel_type3_scrubbed_ship3)*(ship3_fuel_type3+IF(D$2&lt;=global0.5,D$62*ship3_fuel_type3_added,ship3_fuel_type3_added))*fuel_type3_cal0.1*D$35+(1-fuel_type4_scrubbed_ship3)*(ship3_fuel_type4+IF(D$2&lt;=global0.5,D$62*ship3_fuel_type4_added,ship3_fuel_type4_added))*fuel_type4_cal0.1*D$47)))</f>
        <v>0</v>
      </c>
      <c r="E197" s="60">
        <f t="shared" si="204"/>
        <v>0</v>
      </c>
      <c r="F197" s="60">
        <f t="shared" si="204"/>
        <v>0</v>
      </c>
      <c r="G197" s="60">
        <f t="shared" si="204"/>
        <v>0</v>
      </c>
      <c r="H197" s="60">
        <f t="shared" si="204"/>
        <v>0</v>
      </c>
      <c r="I197" s="60">
        <f t="shared" si="204"/>
        <v>0</v>
      </c>
      <c r="J197" s="60">
        <f t="shared" si="204"/>
        <v>0</v>
      </c>
      <c r="K197" s="60">
        <f t="shared" si="204"/>
        <v>0</v>
      </c>
      <c r="L197" s="60">
        <f t="shared" si="204"/>
        <v>0</v>
      </c>
      <c r="M197" s="60">
        <f t="shared" si="204"/>
        <v>0</v>
      </c>
      <c r="N197" s="60">
        <f t="shared" si="204"/>
        <v>0</v>
      </c>
      <c r="O197" s="60">
        <f t="shared" si="204"/>
        <v>0</v>
      </c>
      <c r="P197" s="60">
        <f t="shared" si="204"/>
        <v>0</v>
      </c>
      <c r="Q197" s="60">
        <f t="shared" si="204"/>
        <v>0</v>
      </c>
      <c r="R197" s="60">
        <f t="shared" si="204"/>
        <v>0</v>
      </c>
      <c r="S197" s="60">
        <f t="shared" si="204"/>
        <v>0</v>
      </c>
      <c r="T197" s="60">
        <f t="shared" si="204"/>
        <v>0</v>
      </c>
      <c r="U197" s="60">
        <f t="shared" si="204"/>
        <v>0</v>
      </c>
      <c r="V197" s="60">
        <f t="shared" si="204"/>
        <v>0</v>
      </c>
      <c r="W197" s="60">
        <f t="shared" si="204"/>
        <v>0</v>
      </c>
      <c r="X197" s="60">
        <f t="shared" si="204"/>
        <v>0</v>
      </c>
      <c r="Y197" s="60">
        <f t="shared" si="204"/>
        <v>0</v>
      </c>
      <c r="Z197" s="60">
        <f t="shared" si="204"/>
        <v>0</v>
      </c>
      <c r="AB197" s="61">
        <f t="shared" si="159"/>
        <v>0</v>
      </c>
      <c r="AC197" s="60">
        <f t="shared" si="160"/>
        <v>0</v>
      </c>
      <c r="AD197" s="62">
        <f t="shared" si="161"/>
        <v>0</v>
      </c>
    </row>
    <row r="198" spans="1:30" x14ac:dyDescent="0.2">
      <c r="A198" s="249"/>
      <c r="B198" s="249"/>
      <c r="C198" s="72" t="s">
        <v>19</v>
      </c>
      <c r="D198" s="63">
        <f t="shared" ref="D198:Z198" si="205">IF(D$2&lt;2015,D$62*(SUM((1-fuel_type1_scrubbed_ship3)*(ship3_fuel_type1+IF(D$2&lt;=global0.5,D$62*ship3_fuel_type1_added,ship3_fuel_type1_added))*fuel_type1_cal1.0*D$13,(1-fuel_type2_scrubbed_ship3)*(ship3_fuel_type2+IF(D$2&lt;=global0.5,D$62*ship3_fuel_type2_added,ship3_fuel_type2_added))*fuel_type2_cal1.0*D$25,(1-fuel_type3_scrubbed_ship3)*(ship3_fuel_type3+IF(D$2&lt;=global0.5,D$62*ship3_fuel_type3_added,ship3_fuel_type3_added))*fuel_type3_cal1.0*D$37+(1-fuel_type4_scrubbed_ship3)*(ship3_fuel_type4+IF(D$2&lt;=global0.5,D$62*ship3_fuel_type4_added,ship3_fuel_type4_added))*fuel_type4_cal1.0*D$49)),D$62*(SUM((1-fuel_type1_scrubbed_ship3)*(ship3_fuel_type1+IF(D$2&lt;=global0.5,D$62*ship3_fuel_type1_added,ship3_fuel_type1_added))
*fuel_type1_cal0.1*D$15,(1-fuel_type2_scrubbed_ship3)*(ship3_fuel_type2+IF(D$2&lt;=global0.5,D$62*ship3_fuel_type2_added,ship3_fuel_type2_added))*fuel_type2_cal0.1*D$27,(1-fuel_type3_scrubbed_ship3)*(ship3_fuel_type3+IF(D$2&lt;=global0.5,D$62*ship3_fuel_type3_added,ship3_fuel_type3_added))*fuel_type3_cal0.1*D$39+(1-fuel_type4_scrubbed_ship3)*(ship3_fuel_type4+IF(D$2&lt;=global0.5,D$62*ship3_fuel_type4_added,ship3_fuel_type4_added))*fuel_type4_cal0.1*D$51)))</f>
        <v>0</v>
      </c>
      <c r="E198" s="63">
        <f t="shared" si="205"/>
        <v>0</v>
      </c>
      <c r="F198" s="63">
        <f t="shared" si="205"/>
        <v>0</v>
      </c>
      <c r="G198" s="63">
        <f t="shared" si="205"/>
        <v>0</v>
      </c>
      <c r="H198" s="63">
        <f t="shared" si="205"/>
        <v>0</v>
      </c>
      <c r="I198" s="63">
        <f t="shared" si="205"/>
        <v>0</v>
      </c>
      <c r="J198" s="63">
        <f t="shared" si="205"/>
        <v>0</v>
      </c>
      <c r="K198" s="63">
        <f t="shared" si="205"/>
        <v>0</v>
      </c>
      <c r="L198" s="63">
        <f t="shared" si="205"/>
        <v>0</v>
      </c>
      <c r="M198" s="63">
        <f t="shared" si="205"/>
        <v>0</v>
      </c>
      <c r="N198" s="63">
        <f t="shared" si="205"/>
        <v>0</v>
      </c>
      <c r="O198" s="63">
        <f t="shared" si="205"/>
        <v>0</v>
      </c>
      <c r="P198" s="63">
        <f t="shared" si="205"/>
        <v>0</v>
      </c>
      <c r="Q198" s="63">
        <f t="shared" si="205"/>
        <v>0</v>
      </c>
      <c r="R198" s="63">
        <f t="shared" si="205"/>
        <v>0</v>
      </c>
      <c r="S198" s="63">
        <f t="shared" si="205"/>
        <v>0</v>
      </c>
      <c r="T198" s="63">
        <f t="shared" si="205"/>
        <v>0</v>
      </c>
      <c r="U198" s="63">
        <f t="shared" si="205"/>
        <v>0</v>
      </c>
      <c r="V198" s="63">
        <f t="shared" si="205"/>
        <v>0</v>
      </c>
      <c r="W198" s="63">
        <f t="shared" si="205"/>
        <v>0</v>
      </c>
      <c r="X198" s="63">
        <f t="shared" si="205"/>
        <v>0</v>
      </c>
      <c r="Y198" s="63">
        <f t="shared" si="205"/>
        <v>0</v>
      </c>
      <c r="Z198" s="63">
        <f t="shared" si="205"/>
        <v>0</v>
      </c>
      <c r="AB198" s="64">
        <f t="shared" si="159"/>
        <v>0</v>
      </c>
      <c r="AC198" s="63">
        <f t="shared" si="160"/>
        <v>0</v>
      </c>
      <c r="AD198" s="65">
        <f t="shared" si="161"/>
        <v>0</v>
      </c>
    </row>
    <row r="199" spans="1:30" x14ac:dyDescent="0.2">
      <c r="A199" s="249"/>
      <c r="B199" s="249">
        <f>ship4</f>
        <v>0</v>
      </c>
      <c r="C199" s="72" t="s">
        <v>17</v>
      </c>
      <c r="D199" s="56">
        <f t="shared" ref="D199:Z199" si="206">IF(D$2&lt;2015,D$64*(SUM((1-fuel_type1_scrubbed_ship4)*(ship4_fuel_type1+IF(D$2&lt;=global0.5,D$64*ship4_fuel_type1_added,ship4_fuel_type1_added))*fuel_type1_cal1.0*D$5,(1-fuel_type2_scrubbed_ship4)*(ship4_fuel_type2+IF(D$2&lt;=global0.5,D$64*ship4_fuel_type2_added,ship4_fuel_type2_added))*fuel_type2_cal1.0*D$17,(1-fuel_type3_scrubbed_ship4)*(ship4_fuel_type3+IF(D$2&lt;=global0.5,D$64*ship4_fuel_type3_added,ship4_fuel_type3_added))*fuel_type3_cal1.0*D$29+(1-fuel_type4_scrubbed_ship4)*(ship4_fuel_type4+IF(D$2&lt;=global0.5,D$64*ship4_fuel_type4_added,ship4_fuel_type4_added))*fuel_type4_cal1.0*D$41)),D$64*(SUM((1-fuel_type1_scrubbed_ship4)*(ship4_fuel_type1+IF(D$2&lt;=global0.5,D$64*ship4_fuel_type1_added,ship4_fuel_type1_added))
*fuel_type1_cal0.1*D$7,(1-fuel_type2_scrubbed_ship4)*(ship4_fuel_type2+IF(D$2&lt;=global0.5,D$64*ship4_fuel_type2_added,ship4_fuel_type2_added))*fuel_type2_cal0.1*D$19,(1-fuel_type3_scrubbed_ship4)*(ship4_fuel_type3+IF(D$2&lt;=global0.5,D$64*ship4_fuel_type3_added,ship4_fuel_type3_added))*fuel_type3_cal0.1*D$31+(1-fuel_type4_scrubbed_ship4)*(ship4_fuel_type4+IF(D$2&lt;=global0.5,D$64*ship4_fuel_type4_added,ship4_fuel_type4_added))*fuel_type4_cal0.1*D$43)))</f>
        <v>0</v>
      </c>
      <c r="E199" s="56">
        <f t="shared" si="206"/>
        <v>0</v>
      </c>
      <c r="F199" s="56">
        <f t="shared" si="206"/>
        <v>0</v>
      </c>
      <c r="G199" s="56">
        <f t="shared" si="206"/>
        <v>0</v>
      </c>
      <c r="H199" s="56">
        <f t="shared" si="206"/>
        <v>0</v>
      </c>
      <c r="I199" s="56">
        <f t="shared" si="206"/>
        <v>0</v>
      </c>
      <c r="J199" s="56">
        <f t="shared" si="206"/>
        <v>0</v>
      </c>
      <c r="K199" s="56">
        <f t="shared" si="206"/>
        <v>0</v>
      </c>
      <c r="L199" s="56">
        <f t="shared" si="206"/>
        <v>0</v>
      </c>
      <c r="M199" s="56">
        <f t="shared" si="206"/>
        <v>0</v>
      </c>
      <c r="N199" s="56">
        <f t="shared" si="206"/>
        <v>0</v>
      </c>
      <c r="O199" s="56">
        <f t="shared" si="206"/>
        <v>0</v>
      </c>
      <c r="P199" s="56">
        <f t="shared" si="206"/>
        <v>0</v>
      </c>
      <c r="Q199" s="56">
        <f t="shared" si="206"/>
        <v>0</v>
      </c>
      <c r="R199" s="56">
        <f t="shared" si="206"/>
        <v>0</v>
      </c>
      <c r="S199" s="56">
        <f t="shared" si="206"/>
        <v>0</v>
      </c>
      <c r="T199" s="56">
        <f t="shared" si="206"/>
        <v>0</v>
      </c>
      <c r="U199" s="56">
        <f t="shared" si="206"/>
        <v>0</v>
      </c>
      <c r="V199" s="56">
        <f t="shared" si="206"/>
        <v>0</v>
      </c>
      <c r="W199" s="56">
        <f t="shared" si="206"/>
        <v>0</v>
      </c>
      <c r="X199" s="56">
        <f t="shared" si="206"/>
        <v>0</v>
      </c>
      <c r="Y199" s="56">
        <f t="shared" si="206"/>
        <v>0</v>
      </c>
      <c r="Z199" s="56">
        <f t="shared" si="206"/>
        <v>0</v>
      </c>
      <c r="AB199" s="66">
        <f t="shared" si="159"/>
        <v>0</v>
      </c>
      <c r="AC199" s="56">
        <f t="shared" si="160"/>
        <v>0</v>
      </c>
      <c r="AD199" s="67">
        <f t="shared" si="161"/>
        <v>0</v>
      </c>
    </row>
    <row r="200" spans="1:30" x14ac:dyDescent="0.2">
      <c r="A200" s="249"/>
      <c r="B200" s="249"/>
      <c r="C200" s="72" t="s">
        <v>18</v>
      </c>
      <c r="D200" s="60">
        <f t="shared" ref="D200:Z200" si="207">IF(D$2&lt;2015,D$64*(SUM((1-fuel_type1_scrubbed_ship4)*(ship4_fuel_type1+IF(D$2&lt;=global0.5,D$64*ship4_fuel_type1_added,ship4_fuel_type1_added))*fuel_type1_cal1.0*D$9,(1-fuel_type2_scrubbed_ship4)*(ship4_fuel_type2+IF(D$2&lt;=global0.5,D$64*ship4_fuel_type2_added,ship4_fuel_type2_added))*fuel_type2_cal1.0*D$21,(1-fuel_type3_scrubbed_ship4)*(ship4_fuel_type3+IF(D$2&lt;=global0.5,D$64*ship4_fuel_type3_added,ship4_fuel_type3_added))*fuel_type3_cal1.0*D$33+(1-fuel_type4_scrubbed_ship4)*(ship4_fuel_type4+IF(D$2&lt;=global0.5,D$64*ship4_fuel_type4_added,ship4_fuel_type4_added))*fuel_type4_cal1.0*D$45)),D$64*(SUM((1-fuel_type1_scrubbed_ship4)*(ship4_fuel_type1+IF(D$2&lt;=global0.5,D$64*ship4_fuel_type1_added,ship4_fuel_type1_added))
*fuel_type1_cal0.1*D$11,(1-fuel_type2_scrubbed_ship4)*(ship4_fuel_type2+IF(D$2&lt;=global0.5,D$64*ship4_fuel_type2_added,ship4_fuel_type2_added))*fuel_type2_cal0.1*D$23,(1-fuel_type3_scrubbed_ship4)*(ship4_fuel_type3+IF(D$2&lt;=global0.5,D$64*ship4_fuel_type3_added,ship4_fuel_type3_added))*fuel_type3_cal0.1*D$35+(1-fuel_type4_scrubbed_ship4)*(ship4_fuel_type4+IF(D$2&lt;=global0.5,D$64*ship4_fuel_type4_added,ship4_fuel_type4_added))*fuel_type4_cal0.1*D$47)))</f>
        <v>0</v>
      </c>
      <c r="E200" s="60">
        <f t="shared" si="207"/>
        <v>0</v>
      </c>
      <c r="F200" s="60">
        <f t="shared" si="207"/>
        <v>0</v>
      </c>
      <c r="G200" s="60">
        <f t="shared" si="207"/>
        <v>0</v>
      </c>
      <c r="H200" s="60">
        <f t="shared" si="207"/>
        <v>0</v>
      </c>
      <c r="I200" s="60">
        <f t="shared" si="207"/>
        <v>0</v>
      </c>
      <c r="J200" s="60">
        <f t="shared" si="207"/>
        <v>0</v>
      </c>
      <c r="K200" s="60">
        <f t="shared" si="207"/>
        <v>0</v>
      </c>
      <c r="L200" s="60">
        <f t="shared" si="207"/>
        <v>0</v>
      </c>
      <c r="M200" s="60">
        <f t="shared" si="207"/>
        <v>0</v>
      </c>
      <c r="N200" s="60">
        <f t="shared" si="207"/>
        <v>0</v>
      </c>
      <c r="O200" s="60">
        <f t="shared" si="207"/>
        <v>0</v>
      </c>
      <c r="P200" s="60">
        <f t="shared" si="207"/>
        <v>0</v>
      </c>
      <c r="Q200" s="60">
        <f t="shared" si="207"/>
        <v>0</v>
      </c>
      <c r="R200" s="60">
        <f t="shared" si="207"/>
        <v>0</v>
      </c>
      <c r="S200" s="60">
        <f t="shared" si="207"/>
        <v>0</v>
      </c>
      <c r="T200" s="60">
        <f t="shared" si="207"/>
        <v>0</v>
      </c>
      <c r="U200" s="60">
        <f t="shared" si="207"/>
        <v>0</v>
      </c>
      <c r="V200" s="60">
        <f t="shared" si="207"/>
        <v>0</v>
      </c>
      <c r="W200" s="60">
        <f t="shared" si="207"/>
        <v>0</v>
      </c>
      <c r="X200" s="60">
        <f t="shared" si="207"/>
        <v>0</v>
      </c>
      <c r="Y200" s="60">
        <f t="shared" si="207"/>
        <v>0</v>
      </c>
      <c r="Z200" s="60">
        <f t="shared" si="207"/>
        <v>0</v>
      </c>
      <c r="AB200" s="61">
        <f t="shared" si="159"/>
        <v>0</v>
      </c>
      <c r="AC200" s="60">
        <f t="shared" si="160"/>
        <v>0</v>
      </c>
      <c r="AD200" s="62">
        <f t="shared" si="161"/>
        <v>0</v>
      </c>
    </row>
    <row r="201" spans="1:30" x14ac:dyDescent="0.2">
      <c r="A201" s="249"/>
      <c r="B201" s="249"/>
      <c r="C201" s="72" t="s">
        <v>19</v>
      </c>
      <c r="D201" s="63">
        <f t="shared" ref="D201:Z201" si="208">IF(D$2&lt;2015,D$64*(SUM((1-fuel_type1_scrubbed_ship4)*(ship4_fuel_type1+IF(D$2&lt;=global0.5,D$64*ship4_fuel_type1_added,ship4_fuel_type1_added))*fuel_type1_cal1.0*D$13,(1-fuel_type2_scrubbed_ship4)*(ship4_fuel_type2+IF(D$2&lt;=global0.5,D$64*ship4_fuel_type2_added,ship4_fuel_type2_added))*fuel_type2_cal1.0*D$25,(1-fuel_type3_scrubbed_ship4)*(ship4_fuel_type3+IF(D$2&lt;=global0.5,D$64*ship4_fuel_type3_added,ship4_fuel_type3_added))*fuel_type3_cal1.0*D$37+(1-fuel_type4_scrubbed_ship4)*(ship4_fuel_type4+IF(D$2&lt;=global0.5,D$64*ship4_fuel_type4_added,ship4_fuel_type4_added))*fuel_type4_cal1.0*D$49)),D$64*(SUM((1-fuel_type1_scrubbed_ship4)*(ship4_fuel_type1+IF(D$2&lt;=global0.5,D$64*ship4_fuel_type1_added,ship4_fuel_type1_added))
*fuel_type1_cal0.1*D$15,(1-fuel_type2_scrubbed_ship4)*(ship4_fuel_type2+IF(D$2&lt;=global0.5,D$64*ship4_fuel_type2_added,ship4_fuel_type2_added))*fuel_type2_cal0.1*D$27,(1-fuel_type3_scrubbed_ship4)*(ship4_fuel_type3+IF(D$2&lt;=global0.5,D$64*ship4_fuel_type3_added,ship4_fuel_type3_added))*fuel_type3_cal0.1*D$39+(1-fuel_type4_scrubbed_ship4)*(ship4_fuel_type4+IF(D$2&lt;=global0.5,D$64*ship4_fuel_type4_added,ship4_fuel_type4_added))*fuel_type4_cal0.1*D$51)))</f>
        <v>0</v>
      </c>
      <c r="E201" s="63">
        <f t="shared" si="208"/>
        <v>0</v>
      </c>
      <c r="F201" s="63">
        <f t="shared" si="208"/>
        <v>0</v>
      </c>
      <c r="G201" s="63">
        <f t="shared" si="208"/>
        <v>0</v>
      </c>
      <c r="H201" s="63">
        <f t="shared" si="208"/>
        <v>0</v>
      </c>
      <c r="I201" s="63">
        <f t="shared" si="208"/>
        <v>0</v>
      </c>
      <c r="J201" s="63">
        <f t="shared" si="208"/>
        <v>0</v>
      </c>
      <c r="K201" s="63">
        <f t="shared" si="208"/>
        <v>0</v>
      </c>
      <c r="L201" s="63">
        <f t="shared" si="208"/>
        <v>0</v>
      </c>
      <c r="M201" s="63">
        <f t="shared" si="208"/>
        <v>0</v>
      </c>
      <c r="N201" s="63">
        <f t="shared" si="208"/>
        <v>0</v>
      </c>
      <c r="O201" s="63">
        <f t="shared" si="208"/>
        <v>0</v>
      </c>
      <c r="P201" s="63">
        <f t="shared" si="208"/>
        <v>0</v>
      </c>
      <c r="Q201" s="63">
        <f t="shared" si="208"/>
        <v>0</v>
      </c>
      <c r="R201" s="63">
        <f t="shared" si="208"/>
        <v>0</v>
      </c>
      <c r="S201" s="63">
        <f t="shared" si="208"/>
        <v>0</v>
      </c>
      <c r="T201" s="63">
        <f t="shared" si="208"/>
        <v>0</v>
      </c>
      <c r="U201" s="63">
        <f t="shared" si="208"/>
        <v>0</v>
      </c>
      <c r="V201" s="63">
        <f t="shared" si="208"/>
        <v>0</v>
      </c>
      <c r="W201" s="63">
        <f t="shared" si="208"/>
        <v>0</v>
      </c>
      <c r="X201" s="63">
        <f t="shared" si="208"/>
        <v>0</v>
      </c>
      <c r="Y201" s="63">
        <f t="shared" si="208"/>
        <v>0</v>
      </c>
      <c r="Z201" s="63">
        <f t="shared" si="208"/>
        <v>0</v>
      </c>
      <c r="AB201" s="64">
        <f t="shared" si="159"/>
        <v>0</v>
      </c>
      <c r="AC201" s="63">
        <f t="shared" si="160"/>
        <v>0</v>
      </c>
      <c r="AD201" s="65">
        <f t="shared" si="161"/>
        <v>0</v>
      </c>
    </row>
    <row r="202" spans="1:30" x14ac:dyDescent="0.2">
      <c r="A202" s="249"/>
      <c r="B202" s="249">
        <f>ship5</f>
        <v>0</v>
      </c>
      <c r="C202" s="72" t="s">
        <v>17</v>
      </c>
      <c r="D202" s="56">
        <f t="shared" ref="D202:Z202" si="209">IF(D$2&lt;2015,D$66*(SUM((1-fuel_type1_scrubbed_ship5)*(ship5_fuel_type1+IF(D$2&lt;=global0.5,D$66*ship5_fuel_type1_added,ship5_fuel_type1_added))*fuel_type1_cal1.0*D$5,(1-fuel_type2_scrubbed_ship5)*(ship5_fuel_type2+IF(D$2&lt;=global0.5,D$66*ship5_fuel_type2_added,ship5_fuel_type2_added))*fuel_type2_cal1.0*D$17,(1-fuel_type3_scrubbed_ship5)*(ship5_fuel_type3+IF(D$2&lt;=global0.5,D$66*ship5_fuel_type3_added,ship5_fuel_type3_added))*fuel_type3_cal1.0*D$29+(1-fuel_type4_scrubbed_ship5)*(ship5_fuel_type4+IF(D$2&lt;=global0.5,D$66*ship5_fuel_type4_added,ship5_fuel_type4_added))*fuel_type4_cal1.0*D$41)),D$66*(SUM((1-fuel_type1_scrubbed_ship5)*(ship5_fuel_type1+IF(D$2&lt;=global0.5,D$66*ship5_fuel_type1_added,ship5_fuel_type1_added))
*fuel_type1_cal0.1*D$7,(1-fuel_type2_scrubbed_ship5)*(ship5_fuel_type2+IF(D$2&lt;=global0.5,D$66*ship5_fuel_type2_added,ship5_fuel_type2_added))*fuel_type2_cal0.1*D$19,(1-fuel_type3_scrubbed_ship5)*(ship5_fuel_type3+IF(D$2&lt;=global0.5,D$66*ship5_fuel_type3_added,ship5_fuel_type3_added))*fuel_type3_cal0.1*D$31+(1-fuel_type4_scrubbed_ship5)*(ship5_fuel_type4+IF(D$2&lt;=global0.5,D$66*ship5_fuel_type4_added,ship5_fuel_type4_added))*fuel_type4_cal0.1*D$43)))</f>
        <v>0</v>
      </c>
      <c r="E202" s="56">
        <f t="shared" si="209"/>
        <v>0</v>
      </c>
      <c r="F202" s="56">
        <f t="shared" si="209"/>
        <v>0</v>
      </c>
      <c r="G202" s="56">
        <f t="shared" si="209"/>
        <v>0</v>
      </c>
      <c r="H202" s="56">
        <f t="shared" si="209"/>
        <v>0</v>
      </c>
      <c r="I202" s="56">
        <f t="shared" si="209"/>
        <v>0</v>
      </c>
      <c r="J202" s="56">
        <f t="shared" si="209"/>
        <v>0</v>
      </c>
      <c r="K202" s="56">
        <f t="shared" si="209"/>
        <v>0</v>
      </c>
      <c r="L202" s="56">
        <f t="shared" si="209"/>
        <v>0</v>
      </c>
      <c r="M202" s="56">
        <f t="shared" si="209"/>
        <v>0</v>
      </c>
      <c r="N202" s="56">
        <f t="shared" si="209"/>
        <v>0</v>
      </c>
      <c r="O202" s="56">
        <f t="shared" si="209"/>
        <v>0</v>
      </c>
      <c r="P202" s="56">
        <f t="shared" si="209"/>
        <v>0</v>
      </c>
      <c r="Q202" s="56">
        <f t="shared" si="209"/>
        <v>0</v>
      </c>
      <c r="R202" s="56">
        <f t="shared" si="209"/>
        <v>0</v>
      </c>
      <c r="S202" s="56">
        <f t="shared" si="209"/>
        <v>0</v>
      </c>
      <c r="T202" s="56">
        <f t="shared" si="209"/>
        <v>0</v>
      </c>
      <c r="U202" s="56">
        <f t="shared" si="209"/>
        <v>0</v>
      </c>
      <c r="V202" s="56">
        <f t="shared" si="209"/>
        <v>0</v>
      </c>
      <c r="W202" s="56">
        <f t="shared" si="209"/>
        <v>0</v>
      </c>
      <c r="X202" s="56">
        <f t="shared" si="209"/>
        <v>0</v>
      </c>
      <c r="Y202" s="56">
        <f t="shared" si="209"/>
        <v>0</v>
      </c>
      <c r="Z202" s="56">
        <f t="shared" si="209"/>
        <v>0</v>
      </c>
      <c r="AB202" s="66">
        <f t="shared" si="159"/>
        <v>0</v>
      </c>
      <c r="AC202" s="56">
        <f t="shared" si="160"/>
        <v>0</v>
      </c>
      <c r="AD202" s="67">
        <f t="shared" si="161"/>
        <v>0</v>
      </c>
    </row>
    <row r="203" spans="1:30" x14ac:dyDescent="0.2">
      <c r="A203" s="249"/>
      <c r="B203" s="249"/>
      <c r="C203" s="72" t="s">
        <v>18</v>
      </c>
      <c r="D203" s="60">
        <f t="shared" ref="D203:Z203" si="210">IF(D$2&lt;2015,D$66*(SUM((1-fuel_type1_scrubbed_ship5)*(ship5_fuel_type1+IF(D$2&lt;=global0.5,D$66*ship5_fuel_type1_added,ship5_fuel_type1_added))*fuel_type1_cal1.0*D$9,(1-fuel_type2_scrubbed_ship5)*(ship5_fuel_type2+IF(D$2&lt;=global0.5,D$66*ship5_fuel_type2_added,ship5_fuel_type2_added))*fuel_type2_cal1.0*D$21,(1-fuel_type3_scrubbed_ship5)*(ship5_fuel_type3+IF(D$2&lt;=global0.5,D$66*ship5_fuel_type3_added,ship5_fuel_type3_added))*fuel_type3_cal1.0*D$33+(1-fuel_type4_scrubbed_ship5)*(ship5_fuel_type4+IF(D$2&lt;=global0.5,D$66*ship5_fuel_type4_added,ship5_fuel_type4_added))*fuel_type4_cal1.0*D$45)),D$66*(SUM((1-fuel_type1_scrubbed_ship5)*(ship5_fuel_type1+IF(D$2&lt;=global0.5,D$66*ship5_fuel_type1_added,ship5_fuel_type1_added))
*fuel_type1_cal0.1*D$11,(1-fuel_type2_scrubbed_ship5)*(ship5_fuel_type2+IF(D$2&lt;=global0.5,D$66*ship5_fuel_type2_added,ship5_fuel_type2_added))*fuel_type2_cal0.1*D$23,(1-fuel_type3_scrubbed_ship5)*(ship5_fuel_type3+IF(D$2&lt;=global0.5,D$66*ship5_fuel_type3_added,ship5_fuel_type3_added))*fuel_type3_cal0.1*D$35+(1-fuel_type4_scrubbed_ship5)*(ship5_fuel_type4+IF(D$2&lt;=global0.5,D$66*ship5_fuel_type4_added,ship5_fuel_type4_added))*fuel_type4_cal0.1*D$47)))</f>
        <v>0</v>
      </c>
      <c r="E203" s="60">
        <f t="shared" si="210"/>
        <v>0</v>
      </c>
      <c r="F203" s="60">
        <f t="shared" si="210"/>
        <v>0</v>
      </c>
      <c r="G203" s="60">
        <f t="shared" si="210"/>
        <v>0</v>
      </c>
      <c r="H203" s="60">
        <f t="shared" si="210"/>
        <v>0</v>
      </c>
      <c r="I203" s="60">
        <f t="shared" si="210"/>
        <v>0</v>
      </c>
      <c r="J203" s="60">
        <f t="shared" si="210"/>
        <v>0</v>
      </c>
      <c r="K203" s="60">
        <f t="shared" si="210"/>
        <v>0</v>
      </c>
      <c r="L203" s="60">
        <f t="shared" si="210"/>
        <v>0</v>
      </c>
      <c r="M203" s="60">
        <f t="shared" si="210"/>
        <v>0</v>
      </c>
      <c r="N203" s="60">
        <f t="shared" si="210"/>
        <v>0</v>
      </c>
      <c r="O203" s="60">
        <f t="shared" si="210"/>
        <v>0</v>
      </c>
      <c r="P203" s="60">
        <f t="shared" si="210"/>
        <v>0</v>
      </c>
      <c r="Q203" s="60">
        <f t="shared" si="210"/>
        <v>0</v>
      </c>
      <c r="R203" s="60">
        <f t="shared" si="210"/>
        <v>0</v>
      </c>
      <c r="S203" s="60">
        <f t="shared" si="210"/>
        <v>0</v>
      </c>
      <c r="T203" s="60">
        <f t="shared" si="210"/>
        <v>0</v>
      </c>
      <c r="U203" s="60">
        <f t="shared" si="210"/>
        <v>0</v>
      </c>
      <c r="V203" s="60">
        <f t="shared" si="210"/>
        <v>0</v>
      </c>
      <c r="W203" s="60">
        <f t="shared" si="210"/>
        <v>0</v>
      </c>
      <c r="X203" s="60">
        <f t="shared" si="210"/>
        <v>0</v>
      </c>
      <c r="Y203" s="60">
        <f t="shared" si="210"/>
        <v>0</v>
      </c>
      <c r="Z203" s="60">
        <f t="shared" si="210"/>
        <v>0</v>
      </c>
      <c r="AB203" s="61">
        <f t="shared" si="159"/>
        <v>0</v>
      </c>
      <c r="AC203" s="60">
        <f t="shared" si="160"/>
        <v>0</v>
      </c>
      <c r="AD203" s="62">
        <f t="shared" si="161"/>
        <v>0</v>
      </c>
    </row>
    <row r="204" spans="1:30" x14ac:dyDescent="0.2">
      <c r="A204" s="249"/>
      <c r="B204" s="249"/>
      <c r="C204" s="72" t="s">
        <v>19</v>
      </c>
      <c r="D204" s="63">
        <f t="shared" ref="D204:Z204" si="211">IF(D$2&lt;2015,D$66*(SUM((1-fuel_type1_scrubbed_ship5)*(ship5_fuel_type1+IF(D$2&lt;=global0.5,D$66*ship5_fuel_type1_added,ship5_fuel_type1_added))*fuel_type1_cal1.0*D$13,(1-fuel_type2_scrubbed_ship5)*(ship5_fuel_type2+IF(D$2&lt;=global0.5,D$66*ship5_fuel_type2_added,ship5_fuel_type2_added))*fuel_type2_cal1.0*D$25,(1-fuel_type3_scrubbed_ship5)*(ship5_fuel_type3+IF(D$2&lt;=global0.5,D$66*ship5_fuel_type3_added,ship5_fuel_type3_added))*fuel_type3_cal1.0*D$37+(1-fuel_type4_scrubbed_ship5)*(ship5_fuel_type4+IF(D$2&lt;=global0.5,D$66*ship5_fuel_type4_added,ship5_fuel_type4_added))*fuel_type4_cal1.0*D$49)),D$66*(SUM((1-fuel_type1_scrubbed_ship5)*(ship5_fuel_type1+IF(D$2&lt;=global0.5,D$66*ship5_fuel_type1_added,ship5_fuel_type1_added))
*fuel_type1_cal0.1*D$15,(1-fuel_type2_scrubbed_ship5)*(ship5_fuel_type2+IF(D$2&lt;=global0.5,D$66*ship5_fuel_type2_added,ship5_fuel_type2_added))*fuel_type2_cal0.1*D$27,(1-fuel_type3_scrubbed_ship5)*(ship5_fuel_type3+IF(D$2&lt;=global0.5,D$66*ship5_fuel_type3_added,ship5_fuel_type3_added))*fuel_type3_cal0.1*D$39+(1-fuel_type4_scrubbed_ship5)*(ship5_fuel_type4+IF(D$2&lt;=global0.5,D$66*ship5_fuel_type4_added,ship5_fuel_type4_added))*fuel_type4_cal0.1*D$51)))</f>
        <v>0</v>
      </c>
      <c r="E204" s="63">
        <f t="shared" si="211"/>
        <v>0</v>
      </c>
      <c r="F204" s="63">
        <f t="shared" si="211"/>
        <v>0</v>
      </c>
      <c r="G204" s="63">
        <f t="shared" si="211"/>
        <v>0</v>
      </c>
      <c r="H204" s="63">
        <f t="shared" si="211"/>
        <v>0</v>
      </c>
      <c r="I204" s="63">
        <f t="shared" si="211"/>
        <v>0</v>
      </c>
      <c r="J204" s="63">
        <f t="shared" si="211"/>
        <v>0</v>
      </c>
      <c r="K204" s="63">
        <f t="shared" si="211"/>
        <v>0</v>
      </c>
      <c r="L204" s="63">
        <f t="shared" si="211"/>
        <v>0</v>
      </c>
      <c r="M204" s="63">
        <f t="shared" si="211"/>
        <v>0</v>
      </c>
      <c r="N204" s="63">
        <f t="shared" si="211"/>
        <v>0</v>
      </c>
      <c r="O204" s="63">
        <f t="shared" si="211"/>
        <v>0</v>
      </c>
      <c r="P204" s="63">
        <f t="shared" si="211"/>
        <v>0</v>
      </c>
      <c r="Q204" s="63">
        <f t="shared" si="211"/>
        <v>0</v>
      </c>
      <c r="R204" s="63">
        <f t="shared" si="211"/>
        <v>0</v>
      </c>
      <c r="S204" s="63">
        <f t="shared" si="211"/>
        <v>0</v>
      </c>
      <c r="T204" s="63">
        <f t="shared" si="211"/>
        <v>0</v>
      </c>
      <c r="U204" s="63">
        <f t="shared" si="211"/>
        <v>0</v>
      </c>
      <c r="V204" s="63">
        <f t="shared" si="211"/>
        <v>0</v>
      </c>
      <c r="W204" s="63">
        <f t="shared" si="211"/>
        <v>0</v>
      </c>
      <c r="X204" s="63">
        <f t="shared" si="211"/>
        <v>0</v>
      </c>
      <c r="Y204" s="63">
        <f t="shared" si="211"/>
        <v>0</v>
      </c>
      <c r="Z204" s="63">
        <f t="shared" si="211"/>
        <v>0</v>
      </c>
      <c r="AB204" s="64">
        <f t="shared" si="159"/>
        <v>0</v>
      </c>
      <c r="AC204" s="63">
        <f t="shared" si="160"/>
        <v>0</v>
      </c>
      <c r="AD204" s="65">
        <f t="shared" si="161"/>
        <v>0</v>
      </c>
    </row>
    <row r="205" spans="1:30" x14ac:dyDescent="0.2">
      <c r="A205" s="249"/>
      <c r="B205" s="249">
        <f>ship6</f>
        <v>0</v>
      </c>
      <c r="C205" s="72" t="s">
        <v>17</v>
      </c>
      <c r="D205" s="56">
        <f t="shared" ref="D205:Z205" si="212">IF(D$2&lt;2015,D$68*(SUM((1-fuel_type1_scrubbed_ship6)*(ship6_fuel_type1+IF(D$2&lt;=global0.5,D$68*ship6_fuel_type1_added,ship6_fuel_type1_added))*fuel_type1_cal1.0*D$5,(1-fuel_type2_scrubbed_ship6)*(ship6_fuel_type2+IF(D$2&lt;=global0.5,D$68*ship6_fuel_type2_added,ship6_fuel_type2_added))*fuel_type2_cal1.0*D$17,(1-fuel_type3_scrubbed_ship6)*(ship6_fuel_type3+IF(D$2&lt;=global0.5,D$68*ship6_fuel_type3_added,ship6_fuel_type3_added))*fuel_type3_cal1.0*D$29+(1-fuel_type4_scrubbed_ship6)*(ship6_fuel_type4+IF(D$2&lt;=global0.5,D$68*ship6_fuel_type4_added,ship6_fuel_type4_added))*fuel_type4_cal1.0*D$41)),D$68*(SUM((1-fuel_type1_scrubbed_ship6)*(ship6_fuel_type1+IF(D$2&lt;=global0.5,D$68*ship6_fuel_type1_added,ship6_fuel_type1_added))
*fuel_type1_cal0.1*D$7,(1-fuel_type2_scrubbed_ship6)*(ship6_fuel_type2+IF(D$2&lt;=global0.5,D$68*ship6_fuel_type2_added,ship6_fuel_type2_added))*fuel_type2_cal0.1*D$19,(1-fuel_type3_scrubbed_ship6)*(ship6_fuel_type3+IF(D$2&lt;=global0.5,D$68*ship6_fuel_type3_added,ship6_fuel_type3_added))*fuel_type3_cal0.1*D$31+(1-fuel_type4_scrubbed_ship6)*(ship6_fuel_type4+IF(D$2&lt;=global0.5,D$68*ship6_fuel_type4_added,ship6_fuel_type4_added))*fuel_type4_cal0.1*D$43)))</f>
        <v>0</v>
      </c>
      <c r="E205" s="56">
        <f t="shared" si="212"/>
        <v>0</v>
      </c>
      <c r="F205" s="56">
        <f t="shared" si="212"/>
        <v>0</v>
      </c>
      <c r="G205" s="56">
        <f t="shared" si="212"/>
        <v>0</v>
      </c>
      <c r="H205" s="56">
        <f t="shared" si="212"/>
        <v>0</v>
      </c>
      <c r="I205" s="56">
        <f t="shared" si="212"/>
        <v>0</v>
      </c>
      <c r="J205" s="56">
        <f t="shared" si="212"/>
        <v>0</v>
      </c>
      <c r="K205" s="56">
        <f t="shared" si="212"/>
        <v>0</v>
      </c>
      <c r="L205" s="56">
        <f t="shared" si="212"/>
        <v>0</v>
      </c>
      <c r="M205" s="56">
        <f t="shared" si="212"/>
        <v>0</v>
      </c>
      <c r="N205" s="56">
        <f t="shared" si="212"/>
        <v>0</v>
      </c>
      <c r="O205" s="56">
        <f t="shared" si="212"/>
        <v>0</v>
      </c>
      <c r="P205" s="56">
        <f t="shared" si="212"/>
        <v>0</v>
      </c>
      <c r="Q205" s="56">
        <f t="shared" si="212"/>
        <v>0</v>
      </c>
      <c r="R205" s="56">
        <f t="shared" si="212"/>
        <v>0</v>
      </c>
      <c r="S205" s="56">
        <f t="shared" si="212"/>
        <v>0</v>
      </c>
      <c r="T205" s="56">
        <f t="shared" si="212"/>
        <v>0</v>
      </c>
      <c r="U205" s="56">
        <f t="shared" si="212"/>
        <v>0</v>
      </c>
      <c r="V205" s="56">
        <f t="shared" si="212"/>
        <v>0</v>
      </c>
      <c r="W205" s="56">
        <f t="shared" si="212"/>
        <v>0</v>
      </c>
      <c r="X205" s="56">
        <f t="shared" si="212"/>
        <v>0</v>
      </c>
      <c r="Y205" s="56">
        <f t="shared" si="212"/>
        <v>0</v>
      </c>
      <c r="Z205" s="56">
        <f t="shared" si="212"/>
        <v>0</v>
      </c>
      <c r="AB205" s="66">
        <f t="shared" si="159"/>
        <v>0</v>
      </c>
      <c r="AC205" s="56">
        <f t="shared" si="160"/>
        <v>0</v>
      </c>
      <c r="AD205" s="67">
        <f t="shared" si="161"/>
        <v>0</v>
      </c>
    </row>
    <row r="206" spans="1:30" x14ac:dyDescent="0.2">
      <c r="A206" s="249"/>
      <c r="B206" s="249"/>
      <c r="C206" s="72" t="s">
        <v>18</v>
      </c>
      <c r="D206" s="60">
        <f t="shared" ref="D206:Z206" si="213">IF(D$2&lt;2015,D$68*(SUM((1-fuel_type1_scrubbed_ship6)*(ship6_fuel_type1+IF(D$2&lt;=global0.5,D$68*ship6_fuel_type1_added,ship6_fuel_type1_added))*fuel_type1_cal1.0*D$9,(1-fuel_type2_scrubbed_ship6)*(ship6_fuel_type2+IF(D$2&lt;=global0.5,D$68*ship6_fuel_type2_added,ship6_fuel_type2_added))*fuel_type2_cal1.0*D$21,(1-fuel_type3_scrubbed_ship6)*(ship6_fuel_type3+IF(D$2&lt;=global0.5,D$68*ship6_fuel_type3_added,ship6_fuel_type3_added))*fuel_type3_cal1.0*D$33+(1-fuel_type4_scrubbed_ship6)*(ship6_fuel_type4+IF(D$2&lt;=global0.5,D$68*ship6_fuel_type4_added,ship6_fuel_type4_added))*fuel_type4_cal1.0*D$45)),D$68*(SUM((1-fuel_type1_scrubbed_ship6)*(ship6_fuel_type1+IF(D$2&lt;=global0.5,D$68*ship6_fuel_type1_added,ship6_fuel_type1_added))
*fuel_type1_cal0.1*D$11,(1-fuel_type2_scrubbed_ship6)*(ship6_fuel_type2+IF(D$2&lt;=global0.5,D$68*ship6_fuel_type2_added,ship6_fuel_type2_added))*fuel_type2_cal0.1*D$23,(1-fuel_type3_scrubbed_ship6)*(ship6_fuel_type3+IF(D$2&lt;=global0.5,D$68*ship6_fuel_type3_added,ship6_fuel_type3_added))*fuel_type3_cal0.1*D$35+(1-fuel_type4_scrubbed_ship6)*(ship6_fuel_type4+IF(D$2&lt;=global0.5,D$68*ship6_fuel_type4_added,ship6_fuel_type4_added))*fuel_type4_cal0.1*D$47)))</f>
        <v>0</v>
      </c>
      <c r="E206" s="60">
        <f t="shared" si="213"/>
        <v>0</v>
      </c>
      <c r="F206" s="60">
        <f t="shared" si="213"/>
        <v>0</v>
      </c>
      <c r="G206" s="60">
        <f t="shared" si="213"/>
        <v>0</v>
      </c>
      <c r="H206" s="60">
        <f t="shared" si="213"/>
        <v>0</v>
      </c>
      <c r="I206" s="60">
        <f t="shared" si="213"/>
        <v>0</v>
      </c>
      <c r="J206" s="60">
        <f t="shared" si="213"/>
        <v>0</v>
      </c>
      <c r="K206" s="60">
        <f t="shared" si="213"/>
        <v>0</v>
      </c>
      <c r="L206" s="60">
        <f t="shared" si="213"/>
        <v>0</v>
      </c>
      <c r="M206" s="60">
        <f t="shared" si="213"/>
        <v>0</v>
      </c>
      <c r="N206" s="60">
        <f t="shared" si="213"/>
        <v>0</v>
      </c>
      <c r="O206" s="60">
        <f t="shared" si="213"/>
        <v>0</v>
      </c>
      <c r="P206" s="60">
        <f t="shared" si="213"/>
        <v>0</v>
      </c>
      <c r="Q206" s="60">
        <f t="shared" si="213"/>
        <v>0</v>
      </c>
      <c r="R206" s="60">
        <f t="shared" si="213"/>
        <v>0</v>
      </c>
      <c r="S206" s="60">
        <f t="shared" si="213"/>
        <v>0</v>
      </c>
      <c r="T206" s="60">
        <f t="shared" si="213"/>
        <v>0</v>
      </c>
      <c r="U206" s="60">
        <f t="shared" si="213"/>
        <v>0</v>
      </c>
      <c r="V206" s="60">
        <f t="shared" si="213"/>
        <v>0</v>
      </c>
      <c r="W206" s="60">
        <f t="shared" si="213"/>
        <v>0</v>
      </c>
      <c r="X206" s="60">
        <f t="shared" si="213"/>
        <v>0</v>
      </c>
      <c r="Y206" s="60">
        <f t="shared" si="213"/>
        <v>0</v>
      </c>
      <c r="Z206" s="60">
        <f t="shared" si="213"/>
        <v>0</v>
      </c>
      <c r="AB206" s="61">
        <f t="shared" si="159"/>
        <v>0</v>
      </c>
      <c r="AC206" s="60">
        <f t="shared" si="160"/>
        <v>0</v>
      </c>
      <c r="AD206" s="62">
        <f t="shared" si="161"/>
        <v>0</v>
      </c>
    </row>
    <row r="207" spans="1:30" ht="13.5" thickBot="1" x14ac:dyDescent="0.25">
      <c r="A207" s="249"/>
      <c r="B207" s="249"/>
      <c r="C207" s="72" t="s">
        <v>19</v>
      </c>
      <c r="D207" s="63">
        <f t="shared" ref="D207:Z207" si="214">IF(D$2&lt;2015,D$68*(SUM((1-fuel_type1_scrubbed_ship6)*(ship6_fuel_type1+IF(D$2&lt;=global0.5,D$68*ship6_fuel_type1_added,ship6_fuel_type1_added))*fuel_type1_cal1.0*D$13,(1-fuel_type2_scrubbed_ship6)*(ship6_fuel_type2+IF(D$2&lt;=global0.5,D$68*ship6_fuel_type2_added,ship6_fuel_type2_added))*fuel_type2_cal1.0*D$25,(1-fuel_type3_scrubbed_ship6)*(ship6_fuel_type3+IF(D$2&lt;=global0.5,D$68*ship6_fuel_type3_added,ship6_fuel_type3_added))*fuel_type3_cal1.0*D$37+(1-fuel_type4_scrubbed_ship6)*(ship6_fuel_type4+IF(D$2&lt;=global0.5,D$68*ship6_fuel_type4_added,ship6_fuel_type4_added))*fuel_type4_cal1.0*D$49)),D$68*(SUM((1-fuel_type1_scrubbed_ship6)*(ship6_fuel_type1+IF(D$2&lt;=global0.5,D$68*ship6_fuel_type1_added,ship6_fuel_type1_added))
*fuel_type1_cal0.1*D$15,(1-fuel_type2_scrubbed_ship6)*(ship6_fuel_type2+IF(D$2&lt;=global0.5,D$68*ship6_fuel_type2_added,ship6_fuel_type2_added))*fuel_type2_cal0.1*D$27,(1-fuel_type3_scrubbed_ship6)*(ship6_fuel_type3+IF(D$2&lt;=global0.5,D$68*ship6_fuel_type3_added,ship6_fuel_type3_added))*fuel_type3_cal0.1*D$39+(1-fuel_type4_scrubbed_ship6)*(ship6_fuel_type4+IF(D$2&lt;=global0.5,D$68*ship6_fuel_type4_added,ship6_fuel_type4_added))*fuel_type4_cal0.1*D$51)))</f>
        <v>0</v>
      </c>
      <c r="E207" s="63">
        <f t="shared" si="214"/>
        <v>0</v>
      </c>
      <c r="F207" s="63">
        <f t="shared" si="214"/>
        <v>0</v>
      </c>
      <c r="G207" s="63">
        <f t="shared" si="214"/>
        <v>0</v>
      </c>
      <c r="H207" s="63">
        <f t="shared" si="214"/>
        <v>0</v>
      </c>
      <c r="I207" s="63">
        <f t="shared" si="214"/>
        <v>0</v>
      </c>
      <c r="J207" s="63">
        <f t="shared" si="214"/>
        <v>0</v>
      </c>
      <c r="K207" s="63">
        <f t="shared" si="214"/>
        <v>0</v>
      </c>
      <c r="L207" s="63">
        <f t="shared" si="214"/>
        <v>0</v>
      </c>
      <c r="M207" s="63">
        <f t="shared" si="214"/>
        <v>0</v>
      </c>
      <c r="N207" s="63">
        <f t="shared" si="214"/>
        <v>0</v>
      </c>
      <c r="O207" s="63">
        <f t="shared" si="214"/>
        <v>0</v>
      </c>
      <c r="P207" s="63">
        <f t="shared" si="214"/>
        <v>0</v>
      </c>
      <c r="Q207" s="63">
        <f t="shared" si="214"/>
        <v>0</v>
      </c>
      <c r="R207" s="63">
        <f t="shared" si="214"/>
        <v>0</v>
      </c>
      <c r="S207" s="63">
        <f t="shared" si="214"/>
        <v>0</v>
      </c>
      <c r="T207" s="63">
        <f t="shared" si="214"/>
        <v>0</v>
      </c>
      <c r="U207" s="63">
        <f t="shared" si="214"/>
        <v>0</v>
      </c>
      <c r="V207" s="63">
        <f t="shared" si="214"/>
        <v>0</v>
      </c>
      <c r="W207" s="63">
        <f t="shared" si="214"/>
        <v>0</v>
      </c>
      <c r="X207" s="63">
        <f t="shared" si="214"/>
        <v>0</v>
      </c>
      <c r="Y207" s="63">
        <f t="shared" si="214"/>
        <v>0</v>
      </c>
      <c r="Z207" s="63">
        <f t="shared" si="214"/>
        <v>0</v>
      </c>
      <c r="AB207" s="68">
        <f t="shared" si="159"/>
        <v>0</v>
      </c>
      <c r="AC207" s="69">
        <f t="shared" si="160"/>
        <v>0</v>
      </c>
      <c r="AD207" s="70">
        <f t="shared" si="161"/>
        <v>0</v>
      </c>
    </row>
    <row r="208" spans="1:30" x14ac:dyDescent="0.2">
      <c r="A208" s="248" t="s">
        <v>107</v>
      </c>
      <c r="B208" s="248">
        <f>ship1</f>
        <v>0</v>
      </c>
      <c r="C208" s="30" t="s">
        <v>17</v>
      </c>
      <c r="D208" s="56">
        <f t="shared" ref="D208:Z208" si="215">IF(egcs_year_ship1&lt;=D$2,D154+D172+D190,NA())</f>
        <v>0</v>
      </c>
      <c r="E208" s="56">
        <f t="shared" si="215"/>
        <v>0</v>
      </c>
      <c r="F208" s="56">
        <f t="shared" si="215"/>
        <v>0</v>
      </c>
      <c r="G208" s="56">
        <f t="shared" si="215"/>
        <v>0</v>
      </c>
      <c r="H208" s="56">
        <f t="shared" si="215"/>
        <v>0</v>
      </c>
      <c r="I208" s="56">
        <f t="shared" si="215"/>
        <v>0</v>
      </c>
      <c r="J208" s="56">
        <f t="shared" si="215"/>
        <v>0</v>
      </c>
      <c r="K208" s="56">
        <f t="shared" si="215"/>
        <v>0</v>
      </c>
      <c r="L208" s="56">
        <f t="shared" si="215"/>
        <v>0</v>
      </c>
      <c r="M208" s="56">
        <f t="shared" si="215"/>
        <v>0</v>
      </c>
      <c r="N208" s="56">
        <f t="shared" si="215"/>
        <v>0</v>
      </c>
      <c r="O208" s="56">
        <f t="shared" si="215"/>
        <v>0</v>
      </c>
      <c r="P208" s="56">
        <f t="shared" si="215"/>
        <v>0</v>
      </c>
      <c r="Q208" s="56">
        <f t="shared" si="215"/>
        <v>0</v>
      </c>
      <c r="R208" s="56">
        <f t="shared" si="215"/>
        <v>0</v>
      </c>
      <c r="S208" s="56">
        <f t="shared" si="215"/>
        <v>0</v>
      </c>
      <c r="T208" s="56">
        <f t="shared" si="215"/>
        <v>0</v>
      </c>
      <c r="U208" s="56">
        <f t="shared" si="215"/>
        <v>0</v>
      </c>
      <c r="V208" s="56">
        <f t="shared" si="215"/>
        <v>0</v>
      </c>
      <c r="W208" s="56">
        <f t="shared" si="215"/>
        <v>0</v>
      </c>
      <c r="X208" s="56">
        <f t="shared" si="215"/>
        <v>0</v>
      </c>
      <c r="Y208" s="56">
        <f t="shared" si="215"/>
        <v>0</v>
      </c>
      <c r="Z208" s="56">
        <f t="shared" si="215"/>
        <v>0</v>
      </c>
      <c r="AB208" s="57">
        <f>SUMIF(D208:E208,"&lt;&gt;#N/A")/COUNTIF(D208:E208,"&lt;&gt;#N/A")</f>
        <v>0</v>
      </c>
      <c r="AC208" s="58">
        <f>SUMIF(F208:J208,"&lt;&gt;#N/A")/COUNTIF(F208:J208,"&lt;&gt;#N/A")</f>
        <v>0</v>
      </c>
      <c r="AD208" s="59">
        <f>SUMIF(K208:Z208,"&lt;&gt;#N/A")/COUNTIF(K208:Z208,"&lt;&gt;#N/A")</f>
        <v>0</v>
      </c>
    </row>
    <row r="209" spans="1:30" x14ac:dyDescent="0.2">
      <c r="A209" s="248"/>
      <c r="B209" s="248"/>
      <c r="C209" s="30" t="s">
        <v>18</v>
      </c>
      <c r="D209" s="60">
        <f t="shared" ref="D209:Z209" si="216">IF(egcs_year_ship1&lt;=D$2,D155+D173+D191,NA())</f>
        <v>0</v>
      </c>
      <c r="E209" s="60">
        <f t="shared" si="216"/>
        <v>0</v>
      </c>
      <c r="F209" s="60">
        <f t="shared" si="216"/>
        <v>0</v>
      </c>
      <c r="G209" s="60">
        <f t="shared" si="216"/>
        <v>0</v>
      </c>
      <c r="H209" s="60">
        <f t="shared" si="216"/>
        <v>0</v>
      </c>
      <c r="I209" s="60">
        <f t="shared" si="216"/>
        <v>0</v>
      </c>
      <c r="J209" s="60">
        <f t="shared" si="216"/>
        <v>0</v>
      </c>
      <c r="K209" s="60">
        <f t="shared" si="216"/>
        <v>0</v>
      </c>
      <c r="L209" s="60">
        <f t="shared" si="216"/>
        <v>0</v>
      </c>
      <c r="M209" s="60">
        <f t="shared" si="216"/>
        <v>0</v>
      </c>
      <c r="N209" s="60">
        <f t="shared" si="216"/>
        <v>0</v>
      </c>
      <c r="O209" s="60">
        <f t="shared" si="216"/>
        <v>0</v>
      </c>
      <c r="P209" s="60">
        <f t="shared" si="216"/>
        <v>0</v>
      </c>
      <c r="Q209" s="60">
        <f t="shared" si="216"/>
        <v>0</v>
      </c>
      <c r="R209" s="60">
        <f t="shared" si="216"/>
        <v>0</v>
      </c>
      <c r="S209" s="60">
        <f t="shared" si="216"/>
        <v>0</v>
      </c>
      <c r="T209" s="60">
        <f t="shared" si="216"/>
        <v>0</v>
      </c>
      <c r="U209" s="60">
        <f t="shared" si="216"/>
        <v>0</v>
      </c>
      <c r="V209" s="60">
        <f t="shared" si="216"/>
        <v>0</v>
      </c>
      <c r="W209" s="60">
        <f t="shared" si="216"/>
        <v>0</v>
      </c>
      <c r="X209" s="60">
        <f t="shared" si="216"/>
        <v>0</v>
      </c>
      <c r="Y209" s="60">
        <f t="shared" si="216"/>
        <v>0</v>
      </c>
      <c r="Z209" s="60">
        <f t="shared" si="216"/>
        <v>0</v>
      </c>
      <c r="AB209" s="61">
        <f t="shared" ref="AB209:AB228" si="217">SUMIF(D209:E209,"&lt;&gt;#N/A")/COUNTIF(D209:E209,"&lt;&gt;#N/A")</f>
        <v>0</v>
      </c>
      <c r="AC209" s="60">
        <f t="shared" ref="AC209:AC228" si="218">SUMIF(F209:J209,"&lt;&gt;#N/A")/COUNTIF(F209:J209,"&lt;&gt;#N/A")</f>
        <v>0</v>
      </c>
      <c r="AD209" s="62">
        <f t="shared" ref="AD209:AD228" si="219">SUMIF(K209:Z209,"&lt;&gt;#N/A")/COUNTIF(K209:Z209,"&lt;&gt;#N/A")</f>
        <v>0</v>
      </c>
    </row>
    <row r="210" spans="1:30" x14ac:dyDescent="0.2">
      <c r="A210" s="248"/>
      <c r="B210" s="248"/>
      <c r="C210" s="30" t="s">
        <v>19</v>
      </c>
      <c r="D210" s="63">
        <f t="shared" ref="D210:Z210" si="220">IF(egcs_year_ship1&lt;=D$2,D156+D174+D192,NA())</f>
        <v>0</v>
      </c>
      <c r="E210" s="63">
        <f t="shared" si="220"/>
        <v>0</v>
      </c>
      <c r="F210" s="63">
        <f t="shared" si="220"/>
        <v>0</v>
      </c>
      <c r="G210" s="63">
        <f t="shared" si="220"/>
        <v>0</v>
      </c>
      <c r="H210" s="63">
        <f t="shared" si="220"/>
        <v>0</v>
      </c>
      <c r="I210" s="63">
        <f t="shared" si="220"/>
        <v>0</v>
      </c>
      <c r="J210" s="63">
        <f t="shared" si="220"/>
        <v>0</v>
      </c>
      <c r="K210" s="63">
        <f t="shared" si="220"/>
        <v>0</v>
      </c>
      <c r="L210" s="63">
        <f t="shared" si="220"/>
        <v>0</v>
      </c>
      <c r="M210" s="63">
        <f t="shared" si="220"/>
        <v>0</v>
      </c>
      <c r="N210" s="63">
        <f t="shared" si="220"/>
        <v>0</v>
      </c>
      <c r="O210" s="63">
        <f t="shared" si="220"/>
        <v>0</v>
      </c>
      <c r="P210" s="63">
        <f t="shared" si="220"/>
        <v>0</v>
      </c>
      <c r="Q210" s="63">
        <f t="shared" si="220"/>
        <v>0</v>
      </c>
      <c r="R210" s="63">
        <f t="shared" si="220"/>
        <v>0</v>
      </c>
      <c r="S210" s="63">
        <f t="shared" si="220"/>
        <v>0</v>
      </c>
      <c r="T210" s="63">
        <f t="shared" si="220"/>
        <v>0</v>
      </c>
      <c r="U210" s="63">
        <f t="shared" si="220"/>
        <v>0</v>
      </c>
      <c r="V210" s="63">
        <f t="shared" si="220"/>
        <v>0</v>
      </c>
      <c r="W210" s="63">
        <f t="shared" si="220"/>
        <v>0</v>
      </c>
      <c r="X210" s="63">
        <f t="shared" si="220"/>
        <v>0</v>
      </c>
      <c r="Y210" s="63">
        <f t="shared" si="220"/>
        <v>0</v>
      </c>
      <c r="Z210" s="63">
        <f t="shared" si="220"/>
        <v>0</v>
      </c>
      <c r="AB210" s="64">
        <f t="shared" si="217"/>
        <v>0</v>
      </c>
      <c r="AC210" s="63">
        <f t="shared" si="218"/>
        <v>0</v>
      </c>
      <c r="AD210" s="65">
        <f t="shared" si="219"/>
        <v>0</v>
      </c>
    </row>
    <row r="211" spans="1:30" x14ac:dyDescent="0.2">
      <c r="A211" s="248"/>
      <c r="B211" s="248">
        <f>ship2</f>
        <v>0</v>
      </c>
      <c r="C211" s="30" t="s">
        <v>17</v>
      </c>
      <c r="D211" s="56">
        <f t="shared" ref="D211:Z211" si="221">IF(egcs_year_ship2&lt;=D$2,D157+D175+D193,NA())</f>
        <v>0</v>
      </c>
      <c r="E211" s="56">
        <f t="shared" si="221"/>
        <v>0</v>
      </c>
      <c r="F211" s="56">
        <f t="shared" si="221"/>
        <v>0</v>
      </c>
      <c r="G211" s="56">
        <f t="shared" si="221"/>
        <v>0</v>
      </c>
      <c r="H211" s="56">
        <f t="shared" si="221"/>
        <v>0</v>
      </c>
      <c r="I211" s="56">
        <f t="shared" si="221"/>
        <v>0</v>
      </c>
      <c r="J211" s="56">
        <f t="shared" si="221"/>
        <v>0</v>
      </c>
      <c r="K211" s="56">
        <f t="shared" si="221"/>
        <v>0</v>
      </c>
      <c r="L211" s="56">
        <f t="shared" si="221"/>
        <v>0</v>
      </c>
      <c r="M211" s="56">
        <f t="shared" si="221"/>
        <v>0</v>
      </c>
      <c r="N211" s="56">
        <f t="shared" si="221"/>
        <v>0</v>
      </c>
      <c r="O211" s="56">
        <f t="shared" si="221"/>
        <v>0</v>
      </c>
      <c r="P211" s="56">
        <f t="shared" si="221"/>
        <v>0</v>
      </c>
      <c r="Q211" s="56">
        <f t="shared" si="221"/>
        <v>0</v>
      </c>
      <c r="R211" s="56">
        <f t="shared" si="221"/>
        <v>0</v>
      </c>
      <c r="S211" s="56">
        <f t="shared" si="221"/>
        <v>0</v>
      </c>
      <c r="T211" s="56">
        <f t="shared" si="221"/>
        <v>0</v>
      </c>
      <c r="U211" s="56">
        <f t="shared" si="221"/>
        <v>0</v>
      </c>
      <c r="V211" s="56">
        <f t="shared" si="221"/>
        <v>0</v>
      </c>
      <c r="W211" s="56">
        <f t="shared" si="221"/>
        <v>0</v>
      </c>
      <c r="X211" s="56">
        <f t="shared" si="221"/>
        <v>0</v>
      </c>
      <c r="Y211" s="56">
        <f t="shared" si="221"/>
        <v>0</v>
      </c>
      <c r="Z211" s="56">
        <f t="shared" si="221"/>
        <v>0</v>
      </c>
      <c r="AB211" s="66">
        <f t="shared" si="217"/>
        <v>0</v>
      </c>
      <c r="AC211" s="56">
        <f t="shared" si="218"/>
        <v>0</v>
      </c>
      <c r="AD211" s="67">
        <f t="shared" si="219"/>
        <v>0</v>
      </c>
    </row>
    <row r="212" spans="1:30" x14ac:dyDescent="0.2">
      <c r="A212" s="248"/>
      <c r="B212" s="248"/>
      <c r="C212" s="30" t="s">
        <v>18</v>
      </c>
      <c r="D212" s="60">
        <f t="shared" ref="D212:Z212" si="222">IF(egcs_year_ship2&lt;=D$2,D158+D176+D194,NA())</f>
        <v>0</v>
      </c>
      <c r="E212" s="60">
        <f t="shared" si="222"/>
        <v>0</v>
      </c>
      <c r="F212" s="60">
        <f t="shared" si="222"/>
        <v>0</v>
      </c>
      <c r="G212" s="60">
        <f t="shared" si="222"/>
        <v>0</v>
      </c>
      <c r="H212" s="60">
        <f t="shared" si="222"/>
        <v>0</v>
      </c>
      <c r="I212" s="60">
        <f t="shared" si="222"/>
        <v>0</v>
      </c>
      <c r="J212" s="60">
        <f t="shared" si="222"/>
        <v>0</v>
      </c>
      <c r="K212" s="60">
        <f t="shared" si="222"/>
        <v>0</v>
      </c>
      <c r="L212" s="60">
        <f t="shared" si="222"/>
        <v>0</v>
      </c>
      <c r="M212" s="60">
        <f t="shared" si="222"/>
        <v>0</v>
      </c>
      <c r="N212" s="60">
        <f t="shared" si="222"/>
        <v>0</v>
      </c>
      <c r="O212" s="60">
        <f t="shared" si="222"/>
        <v>0</v>
      </c>
      <c r="P212" s="60">
        <f t="shared" si="222"/>
        <v>0</v>
      </c>
      <c r="Q212" s="60">
        <f t="shared" si="222"/>
        <v>0</v>
      </c>
      <c r="R212" s="60">
        <f t="shared" si="222"/>
        <v>0</v>
      </c>
      <c r="S212" s="60">
        <f t="shared" si="222"/>
        <v>0</v>
      </c>
      <c r="T212" s="60">
        <f t="shared" si="222"/>
        <v>0</v>
      </c>
      <c r="U212" s="60">
        <f t="shared" si="222"/>
        <v>0</v>
      </c>
      <c r="V212" s="60">
        <f t="shared" si="222"/>
        <v>0</v>
      </c>
      <c r="W212" s="60">
        <f t="shared" si="222"/>
        <v>0</v>
      </c>
      <c r="X212" s="60">
        <f t="shared" si="222"/>
        <v>0</v>
      </c>
      <c r="Y212" s="60">
        <f t="shared" si="222"/>
        <v>0</v>
      </c>
      <c r="Z212" s="60">
        <f t="shared" si="222"/>
        <v>0</v>
      </c>
      <c r="AB212" s="61">
        <f t="shared" si="217"/>
        <v>0</v>
      </c>
      <c r="AC212" s="60">
        <f t="shared" si="218"/>
        <v>0</v>
      </c>
      <c r="AD212" s="62">
        <f t="shared" si="219"/>
        <v>0</v>
      </c>
    </row>
    <row r="213" spans="1:30" x14ac:dyDescent="0.2">
      <c r="A213" s="248"/>
      <c r="B213" s="248"/>
      <c r="C213" s="30" t="s">
        <v>19</v>
      </c>
      <c r="D213" s="63">
        <f t="shared" ref="D213:Z213" si="223">IF(egcs_year_ship2&lt;=D$2,D159+D177+D195,NA())</f>
        <v>0</v>
      </c>
      <c r="E213" s="63">
        <f t="shared" si="223"/>
        <v>0</v>
      </c>
      <c r="F213" s="63">
        <f t="shared" si="223"/>
        <v>0</v>
      </c>
      <c r="G213" s="63">
        <f t="shared" si="223"/>
        <v>0</v>
      </c>
      <c r="H213" s="63">
        <f t="shared" si="223"/>
        <v>0</v>
      </c>
      <c r="I213" s="63">
        <f t="shared" si="223"/>
        <v>0</v>
      </c>
      <c r="J213" s="63">
        <f t="shared" si="223"/>
        <v>0</v>
      </c>
      <c r="K213" s="63">
        <f t="shared" si="223"/>
        <v>0</v>
      </c>
      <c r="L213" s="63">
        <f t="shared" si="223"/>
        <v>0</v>
      </c>
      <c r="M213" s="63">
        <f t="shared" si="223"/>
        <v>0</v>
      </c>
      <c r="N213" s="63">
        <f t="shared" si="223"/>
        <v>0</v>
      </c>
      <c r="O213" s="63">
        <f t="shared" si="223"/>
        <v>0</v>
      </c>
      <c r="P213" s="63">
        <f t="shared" si="223"/>
        <v>0</v>
      </c>
      <c r="Q213" s="63">
        <f t="shared" si="223"/>
        <v>0</v>
      </c>
      <c r="R213" s="63">
        <f t="shared" si="223"/>
        <v>0</v>
      </c>
      <c r="S213" s="63">
        <f t="shared" si="223"/>
        <v>0</v>
      </c>
      <c r="T213" s="63">
        <f t="shared" si="223"/>
        <v>0</v>
      </c>
      <c r="U213" s="63">
        <f t="shared" si="223"/>
        <v>0</v>
      </c>
      <c r="V213" s="63">
        <f t="shared" si="223"/>
        <v>0</v>
      </c>
      <c r="W213" s="63">
        <f t="shared" si="223"/>
        <v>0</v>
      </c>
      <c r="X213" s="63">
        <f t="shared" si="223"/>
        <v>0</v>
      </c>
      <c r="Y213" s="63">
        <f t="shared" si="223"/>
        <v>0</v>
      </c>
      <c r="Z213" s="63">
        <f t="shared" si="223"/>
        <v>0</v>
      </c>
      <c r="AB213" s="64">
        <f t="shared" si="217"/>
        <v>0</v>
      </c>
      <c r="AC213" s="63">
        <f t="shared" si="218"/>
        <v>0</v>
      </c>
      <c r="AD213" s="65">
        <f t="shared" si="219"/>
        <v>0</v>
      </c>
    </row>
    <row r="214" spans="1:30" x14ac:dyDescent="0.2">
      <c r="A214" s="248"/>
      <c r="B214" s="248">
        <f>ship3</f>
        <v>0</v>
      </c>
      <c r="C214" s="30" t="s">
        <v>17</v>
      </c>
      <c r="D214" s="56">
        <f t="shared" ref="D214:Z214" si="224">IF(egcs_year_ship3&lt;=D$2,D160+D178+D196,NA())</f>
        <v>0</v>
      </c>
      <c r="E214" s="56">
        <f t="shared" si="224"/>
        <v>0</v>
      </c>
      <c r="F214" s="56">
        <f t="shared" si="224"/>
        <v>0</v>
      </c>
      <c r="G214" s="56">
        <f t="shared" si="224"/>
        <v>0</v>
      </c>
      <c r="H214" s="56">
        <f t="shared" si="224"/>
        <v>0</v>
      </c>
      <c r="I214" s="56">
        <f t="shared" si="224"/>
        <v>0</v>
      </c>
      <c r="J214" s="56">
        <f t="shared" si="224"/>
        <v>0</v>
      </c>
      <c r="K214" s="56">
        <f t="shared" si="224"/>
        <v>0</v>
      </c>
      <c r="L214" s="56">
        <f t="shared" si="224"/>
        <v>0</v>
      </c>
      <c r="M214" s="56">
        <f t="shared" si="224"/>
        <v>0</v>
      </c>
      <c r="N214" s="56">
        <f t="shared" si="224"/>
        <v>0</v>
      </c>
      <c r="O214" s="56">
        <f t="shared" si="224"/>
        <v>0</v>
      </c>
      <c r="P214" s="56">
        <f t="shared" si="224"/>
        <v>0</v>
      </c>
      <c r="Q214" s="56">
        <f t="shared" si="224"/>
        <v>0</v>
      </c>
      <c r="R214" s="56">
        <f t="shared" si="224"/>
        <v>0</v>
      </c>
      <c r="S214" s="56">
        <f t="shared" si="224"/>
        <v>0</v>
      </c>
      <c r="T214" s="56">
        <f t="shared" si="224"/>
        <v>0</v>
      </c>
      <c r="U214" s="56">
        <f t="shared" si="224"/>
        <v>0</v>
      </c>
      <c r="V214" s="56">
        <f t="shared" si="224"/>
        <v>0</v>
      </c>
      <c r="W214" s="56">
        <f t="shared" si="224"/>
        <v>0</v>
      </c>
      <c r="X214" s="56">
        <f t="shared" si="224"/>
        <v>0</v>
      </c>
      <c r="Y214" s="56">
        <f t="shared" si="224"/>
        <v>0</v>
      </c>
      <c r="Z214" s="56">
        <f t="shared" si="224"/>
        <v>0</v>
      </c>
      <c r="AB214" s="66">
        <f t="shared" si="217"/>
        <v>0</v>
      </c>
      <c r="AC214" s="56">
        <f t="shared" si="218"/>
        <v>0</v>
      </c>
      <c r="AD214" s="67">
        <f t="shared" si="219"/>
        <v>0</v>
      </c>
    </row>
    <row r="215" spans="1:30" x14ac:dyDescent="0.2">
      <c r="A215" s="248"/>
      <c r="B215" s="248"/>
      <c r="C215" s="30" t="s">
        <v>18</v>
      </c>
      <c r="D215" s="60">
        <f t="shared" ref="D215:Z215" si="225">IF(egcs_year_ship3&lt;=D$2,D161+D179+D197,NA())</f>
        <v>0</v>
      </c>
      <c r="E215" s="60">
        <f t="shared" si="225"/>
        <v>0</v>
      </c>
      <c r="F215" s="60">
        <f t="shared" si="225"/>
        <v>0</v>
      </c>
      <c r="G215" s="60">
        <f t="shared" si="225"/>
        <v>0</v>
      </c>
      <c r="H215" s="60">
        <f t="shared" si="225"/>
        <v>0</v>
      </c>
      <c r="I215" s="60">
        <f t="shared" si="225"/>
        <v>0</v>
      </c>
      <c r="J215" s="60">
        <f t="shared" si="225"/>
        <v>0</v>
      </c>
      <c r="K215" s="60">
        <f t="shared" si="225"/>
        <v>0</v>
      </c>
      <c r="L215" s="60">
        <f t="shared" si="225"/>
        <v>0</v>
      </c>
      <c r="M215" s="60">
        <f t="shared" si="225"/>
        <v>0</v>
      </c>
      <c r="N215" s="60">
        <f t="shared" si="225"/>
        <v>0</v>
      </c>
      <c r="O215" s="60">
        <f t="shared" si="225"/>
        <v>0</v>
      </c>
      <c r="P215" s="60">
        <f t="shared" si="225"/>
        <v>0</v>
      </c>
      <c r="Q215" s="60">
        <f t="shared" si="225"/>
        <v>0</v>
      </c>
      <c r="R215" s="60">
        <f t="shared" si="225"/>
        <v>0</v>
      </c>
      <c r="S215" s="60">
        <f t="shared" si="225"/>
        <v>0</v>
      </c>
      <c r="T215" s="60">
        <f t="shared" si="225"/>
        <v>0</v>
      </c>
      <c r="U215" s="60">
        <f t="shared" si="225"/>
        <v>0</v>
      </c>
      <c r="V215" s="60">
        <f t="shared" si="225"/>
        <v>0</v>
      </c>
      <c r="W215" s="60">
        <f t="shared" si="225"/>
        <v>0</v>
      </c>
      <c r="X215" s="60">
        <f t="shared" si="225"/>
        <v>0</v>
      </c>
      <c r="Y215" s="60">
        <f t="shared" si="225"/>
        <v>0</v>
      </c>
      <c r="Z215" s="60">
        <f t="shared" si="225"/>
        <v>0</v>
      </c>
      <c r="AB215" s="61">
        <f t="shared" si="217"/>
        <v>0</v>
      </c>
      <c r="AC215" s="60">
        <f t="shared" si="218"/>
        <v>0</v>
      </c>
      <c r="AD215" s="62">
        <f t="shared" si="219"/>
        <v>0</v>
      </c>
    </row>
    <row r="216" spans="1:30" x14ac:dyDescent="0.2">
      <c r="A216" s="248"/>
      <c r="B216" s="248"/>
      <c r="C216" s="30" t="s">
        <v>19</v>
      </c>
      <c r="D216" s="63">
        <f t="shared" ref="D216:Z216" si="226">IF(egcs_year_ship3&lt;=D$2,D162+D180+D198,NA())</f>
        <v>0</v>
      </c>
      <c r="E216" s="63">
        <f t="shared" si="226"/>
        <v>0</v>
      </c>
      <c r="F216" s="63">
        <f t="shared" si="226"/>
        <v>0</v>
      </c>
      <c r="G216" s="63">
        <f t="shared" si="226"/>
        <v>0</v>
      </c>
      <c r="H216" s="63">
        <f t="shared" si="226"/>
        <v>0</v>
      </c>
      <c r="I216" s="63">
        <f t="shared" si="226"/>
        <v>0</v>
      </c>
      <c r="J216" s="63">
        <f t="shared" si="226"/>
        <v>0</v>
      </c>
      <c r="K216" s="63">
        <f t="shared" si="226"/>
        <v>0</v>
      </c>
      <c r="L216" s="63">
        <f t="shared" si="226"/>
        <v>0</v>
      </c>
      <c r="M216" s="63">
        <f t="shared" si="226"/>
        <v>0</v>
      </c>
      <c r="N216" s="63">
        <f t="shared" si="226"/>
        <v>0</v>
      </c>
      <c r="O216" s="63">
        <f t="shared" si="226"/>
        <v>0</v>
      </c>
      <c r="P216" s="63">
        <f t="shared" si="226"/>
        <v>0</v>
      </c>
      <c r="Q216" s="63">
        <f t="shared" si="226"/>
        <v>0</v>
      </c>
      <c r="R216" s="63">
        <f t="shared" si="226"/>
        <v>0</v>
      </c>
      <c r="S216" s="63">
        <f t="shared" si="226"/>
        <v>0</v>
      </c>
      <c r="T216" s="63">
        <f t="shared" si="226"/>
        <v>0</v>
      </c>
      <c r="U216" s="63">
        <f t="shared" si="226"/>
        <v>0</v>
      </c>
      <c r="V216" s="63">
        <f t="shared" si="226"/>
        <v>0</v>
      </c>
      <c r="W216" s="63">
        <f t="shared" si="226"/>
        <v>0</v>
      </c>
      <c r="X216" s="63">
        <f t="shared" si="226"/>
        <v>0</v>
      </c>
      <c r="Y216" s="63">
        <f t="shared" si="226"/>
        <v>0</v>
      </c>
      <c r="Z216" s="63">
        <f t="shared" si="226"/>
        <v>0</v>
      </c>
      <c r="AB216" s="64">
        <f t="shared" si="217"/>
        <v>0</v>
      </c>
      <c r="AC216" s="63">
        <f t="shared" si="218"/>
        <v>0</v>
      </c>
      <c r="AD216" s="65">
        <f t="shared" si="219"/>
        <v>0</v>
      </c>
    </row>
    <row r="217" spans="1:30" x14ac:dyDescent="0.2">
      <c r="A217" s="248"/>
      <c r="B217" s="248">
        <f>ship4</f>
        <v>0</v>
      </c>
      <c r="C217" s="30" t="s">
        <v>17</v>
      </c>
      <c r="D217" s="56">
        <f t="shared" ref="D217:Z217" si="227">IF(egcs_year_ship4&lt;=D$2,D163+D181+D199,NA())</f>
        <v>0</v>
      </c>
      <c r="E217" s="56">
        <f t="shared" si="227"/>
        <v>0</v>
      </c>
      <c r="F217" s="56">
        <f t="shared" si="227"/>
        <v>0</v>
      </c>
      <c r="G217" s="56">
        <f t="shared" si="227"/>
        <v>0</v>
      </c>
      <c r="H217" s="56">
        <f t="shared" si="227"/>
        <v>0</v>
      </c>
      <c r="I217" s="56">
        <f t="shared" si="227"/>
        <v>0</v>
      </c>
      <c r="J217" s="56">
        <f t="shared" si="227"/>
        <v>0</v>
      </c>
      <c r="K217" s="56">
        <f t="shared" si="227"/>
        <v>0</v>
      </c>
      <c r="L217" s="56">
        <f t="shared" si="227"/>
        <v>0</v>
      </c>
      <c r="M217" s="56">
        <f t="shared" si="227"/>
        <v>0</v>
      </c>
      <c r="N217" s="56">
        <f t="shared" si="227"/>
        <v>0</v>
      </c>
      <c r="O217" s="56">
        <f t="shared" si="227"/>
        <v>0</v>
      </c>
      <c r="P217" s="56">
        <f t="shared" si="227"/>
        <v>0</v>
      </c>
      <c r="Q217" s="56">
        <f t="shared" si="227"/>
        <v>0</v>
      </c>
      <c r="R217" s="56">
        <f t="shared" si="227"/>
        <v>0</v>
      </c>
      <c r="S217" s="56">
        <f t="shared" si="227"/>
        <v>0</v>
      </c>
      <c r="T217" s="56">
        <f t="shared" si="227"/>
        <v>0</v>
      </c>
      <c r="U217" s="56">
        <f t="shared" si="227"/>
        <v>0</v>
      </c>
      <c r="V217" s="56">
        <f t="shared" si="227"/>
        <v>0</v>
      </c>
      <c r="W217" s="56">
        <f t="shared" si="227"/>
        <v>0</v>
      </c>
      <c r="X217" s="56">
        <f t="shared" si="227"/>
        <v>0</v>
      </c>
      <c r="Y217" s="56">
        <f t="shared" si="227"/>
        <v>0</v>
      </c>
      <c r="Z217" s="56">
        <f t="shared" si="227"/>
        <v>0</v>
      </c>
      <c r="AB217" s="66">
        <f t="shared" si="217"/>
        <v>0</v>
      </c>
      <c r="AC217" s="56">
        <f t="shared" si="218"/>
        <v>0</v>
      </c>
      <c r="AD217" s="67">
        <f t="shared" si="219"/>
        <v>0</v>
      </c>
    </row>
    <row r="218" spans="1:30" x14ac:dyDescent="0.2">
      <c r="A218" s="248"/>
      <c r="B218" s="248"/>
      <c r="C218" s="30" t="s">
        <v>18</v>
      </c>
      <c r="D218" s="60">
        <f t="shared" ref="D218:Z218" si="228">IF(egcs_year_ship4&lt;=D$2,D164+D182+D200,NA())</f>
        <v>0</v>
      </c>
      <c r="E218" s="60">
        <f t="shared" si="228"/>
        <v>0</v>
      </c>
      <c r="F218" s="60">
        <f t="shared" si="228"/>
        <v>0</v>
      </c>
      <c r="G218" s="60">
        <f t="shared" si="228"/>
        <v>0</v>
      </c>
      <c r="H218" s="60">
        <f t="shared" si="228"/>
        <v>0</v>
      </c>
      <c r="I218" s="60">
        <f t="shared" si="228"/>
        <v>0</v>
      </c>
      <c r="J218" s="60">
        <f t="shared" si="228"/>
        <v>0</v>
      </c>
      <c r="K218" s="60">
        <f t="shared" si="228"/>
        <v>0</v>
      </c>
      <c r="L218" s="60">
        <f t="shared" si="228"/>
        <v>0</v>
      </c>
      <c r="M218" s="60">
        <f t="shared" si="228"/>
        <v>0</v>
      </c>
      <c r="N218" s="60">
        <f t="shared" si="228"/>
        <v>0</v>
      </c>
      <c r="O218" s="60">
        <f t="shared" si="228"/>
        <v>0</v>
      </c>
      <c r="P218" s="60">
        <f t="shared" si="228"/>
        <v>0</v>
      </c>
      <c r="Q218" s="60">
        <f t="shared" si="228"/>
        <v>0</v>
      </c>
      <c r="R218" s="60">
        <f t="shared" si="228"/>
        <v>0</v>
      </c>
      <c r="S218" s="60">
        <f t="shared" si="228"/>
        <v>0</v>
      </c>
      <c r="T218" s="60">
        <f t="shared" si="228"/>
        <v>0</v>
      </c>
      <c r="U218" s="60">
        <f t="shared" si="228"/>
        <v>0</v>
      </c>
      <c r="V218" s="60">
        <f t="shared" si="228"/>
        <v>0</v>
      </c>
      <c r="W218" s="60">
        <f t="shared" si="228"/>
        <v>0</v>
      </c>
      <c r="X218" s="60">
        <f t="shared" si="228"/>
        <v>0</v>
      </c>
      <c r="Y218" s="60">
        <f t="shared" si="228"/>
        <v>0</v>
      </c>
      <c r="Z218" s="60">
        <f t="shared" si="228"/>
        <v>0</v>
      </c>
      <c r="AB218" s="61">
        <f t="shared" si="217"/>
        <v>0</v>
      </c>
      <c r="AC218" s="60">
        <f t="shared" si="218"/>
        <v>0</v>
      </c>
      <c r="AD218" s="62">
        <f t="shared" si="219"/>
        <v>0</v>
      </c>
    </row>
    <row r="219" spans="1:30" x14ac:dyDescent="0.2">
      <c r="A219" s="248"/>
      <c r="B219" s="248"/>
      <c r="C219" s="30" t="s">
        <v>19</v>
      </c>
      <c r="D219" s="63">
        <f t="shared" ref="D219:Z219" si="229">IF(egcs_year_ship4&lt;=D$2,D165+D183+D201,NA())</f>
        <v>0</v>
      </c>
      <c r="E219" s="63">
        <f t="shared" si="229"/>
        <v>0</v>
      </c>
      <c r="F219" s="63">
        <f t="shared" si="229"/>
        <v>0</v>
      </c>
      <c r="G219" s="63">
        <f t="shared" si="229"/>
        <v>0</v>
      </c>
      <c r="H219" s="63">
        <f t="shared" si="229"/>
        <v>0</v>
      </c>
      <c r="I219" s="63">
        <f t="shared" si="229"/>
        <v>0</v>
      </c>
      <c r="J219" s="63">
        <f t="shared" si="229"/>
        <v>0</v>
      </c>
      <c r="K219" s="63">
        <f t="shared" si="229"/>
        <v>0</v>
      </c>
      <c r="L219" s="63">
        <f t="shared" si="229"/>
        <v>0</v>
      </c>
      <c r="M219" s="63">
        <f t="shared" si="229"/>
        <v>0</v>
      </c>
      <c r="N219" s="63">
        <f t="shared" si="229"/>
        <v>0</v>
      </c>
      <c r="O219" s="63">
        <f t="shared" si="229"/>
        <v>0</v>
      </c>
      <c r="P219" s="63">
        <f t="shared" si="229"/>
        <v>0</v>
      </c>
      <c r="Q219" s="63">
        <f t="shared" si="229"/>
        <v>0</v>
      </c>
      <c r="R219" s="63">
        <f t="shared" si="229"/>
        <v>0</v>
      </c>
      <c r="S219" s="63">
        <f t="shared" si="229"/>
        <v>0</v>
      </c>
      <c r="T219" s="63">
        <f t="shared" si="229"/>
        <v>0</v>
      </c>
      <c r="U219" s="63">
        <f t="shared" si="229"/>
        <v>0</v>
      </c>
      <c r="V219" s="63">
        <f t="shared" si="229"/>
        <v>0</v>
      </c>
      <c r="W219" s="63">
        <f t="shared" si="229"/>
        <v>0</v>
      </c>
      <c r="X219" s="63">
        <f t="shared" si="229"/>
        <v>0</v>
      </c>
      <c r="Y219" s="63">
        <f t="shared" si="229"/>
        <v>0</v>
      </c>
      <c r="Z219" s="63">
        <f t="shared" si="229"/>
        <v>0</v>
      </c>
      <c r="AB219" s="64">
        <f t="shared" si="217"/>
        <v>0</v>
      </c>
      <c r="AC219" s="63">
        <f t="shared" si="218"/>
        <v>0</v>
      </c>
      <c r="AD219" s="65">
        <f t="shared" si="219"/>
        <v>0</v>
      </c>
    </row>
    <row r="220" spans="1:30" x14ac:dyDescent="0.2">
      <c r="A220" s="248"/>
      <c r="B220" s="248">
        <f>ship5</f>
        <v>0</v>
      </c>
      <c r="C220" s="30" t="s">
        <v>17</v>
      </c>
      <c r="D220" s="56">
        <f t="shared" ref="D220:Z220" si="230">IF(egcs_year_ship5&lt;=D$2,D166+D184+D202,NA())</f>
        <v>0</v>
      </c>
      <c r="E220" s="56">
        <f t="shared" si="230"/>
        <v>0</v>
      </c>
      <c r="F220" s="56">
        <f t="shared" si="230"/>
        <v>0</v>
      </c>
      <c r="G220" s="56">
        <f t="shared" si="230"/>
        <v>0</v>
      </c>
      <c r="H220" s="56">
        <f t="shared" si="230"/>
        <v>0</v>
      </c>
      <c r="I220" s="56">
        <f t="shared" si="230"/>
        <v>0</v>
      </c>
      <c r="J220" s="56">
        <f t="shared" si="230"/>
        <v>0</v>
      </c>
      <c r="K220" s="56">
        <f t="shared" si="230"/>
        <v>0</v>
      </c>
      <c r="L220" s="56">
        <f t="shared" si="230"/>
        <v>0</v>
      </c>
      <c r="M220" s="56">
        <f t="shared" si="230"/>
        <v>0</v>
      </c>
      <c r="N220" s="56">
        <f t="shared" si="230"/>
        <v>0</v>
      </c>
      <c r="O220" s="56">
        <f t="shared" si="230"/>
        <v>0</v>
      </c>
      <c r="P220" s="56">
        <f t="shared" si="230"/>
        <v>0</v>
      </c>
      <c r="Q220" s="56">
        <f t="shared" si="230"/>
        <v>0</v>
      </c>
      <c r="R220" s="56">
        <f t="shared" si="230"/>
        <v>0</v>
      </c>
      <c r="S220" s="56">
        <f t="shared" si="230"/>
        <v>0</v>
      </c>
      <c r="T220" s="56">
        <f t="shared" si="230"/>
        <v>0</v>
      </c>
      <c r="U220" s="56">
        <f t="shared" si="230"/>
        <v>0</v>
      </c>
      <c r="V220" s="56">
        <f t="shared" si="230"/>
        <v>0</v>
      </c>
      <c r="W220" s="56">
        <f t="shared" si="230"/>
        <v>0</v>
      </c>
      <c r="X220" s="56">
        <f t="shared" si="230"/>
        <v>0</v>
      </c>
      <c r="Y220" s="56">
        <f t="shared" si="230"/>
        <v>0</v>
      </c>
      <c r="Z220" s="56">
        <f t="shared" si="230"/>
        <v>0</v>
      </c>
      <c r="AB220" s="66">
        <f t="shared" si="217"/>
        <v>0</v>
      </c>
      <c r="AC220" s="56">
        <f t="shared" si="218"/>
        <v>0</v>
      </c>
      <c r="AD220" s="67">
        <f t="shared" si="219"/>
        <v>0</v>
      </c>
    </row>
    <row r="221" spans="1:30" x14ac:dyDescent="0.2">
      <c r="A221" s="248"/>
      <c r="B221" s="248"/>
      <c r="C221" s="30" t="s">
        <v>18</v>
      </c>
      <c r="D221" s="60">
        <f t="shared" ref="D221:Z221" si="231">IF(egcs_year_ship5&lt;=D$2,D167+D185+D203,NA())</f>
        <v>0</v>
      </c>
      <c r="E221" s="60">
        <f t="shared" si="231"/>
        <v>0</v>
      </c>
      <c r="F221" s="60">
        <f t="shared" si="231"/>
        <v>0</v>
      </c>
      <c r="G221" s="60">
        <f t="shared" si="231"/>
        <v>0</v>
      </c>
      <c r="H221" s="60">
        <f t="shared" si="231"/>
        <v>0</v>
      </c>
      <c r="I221" s="60">
        <f t="shared" si="231"/>
        <v>0</v>
      </c>
      <c r="J221" s="60">
        <f t="shared" si="231"/>
        <v>0</v>
      </c>
      <c r="K221" s="60">
        <f t="shared" si="231"/>
        <v>0</v>
      </c>
      <c r="L221" s="60">
        <f t="shared" si="231"/>
        <v>0</v>
      </c>
      <c r="M221" s="60">
        <f t="shared" si="231"/>
        <v>0</v>
      </c>
      <c r="N221" s="60">
        <f t="shared" si="231"/>
        <v>0</v>
      </c>
      <c r="O221" s="60">
        <f t="shared" si="231"/>
        <v>0</v>
      </c>
      <c r="P221" s="60">
        <f t="shared" si="231"/>
        <v>0</v>
      </c>
      <c r="Q221" s="60">
        <f t="shared" si="231"/>
        <v>0</v>
      </c>
      <c r="R221" s="60">
        <f t="shared" si="231"/>
        <v>0</v>
      </c>
      <c r="S221" s="60">
        <f t="shared" si="231"/>
        <v>0</v>
      </c>
      <c r="T221" s="60">
        <f t="shared" si="231"/>
        <v>0</v>
      </c>
      <c r="U221" s="60">
        <f t="shared" si="231"/>
        <v>0</v>
      </c>
      <c r="V221" s="60">
        <f t="shared" si="231"/>
        <v>0</v>
      </c>
      <c r="W221" s="60">
        <f t="shared" si="231"/>
        <v>0</v>
      </c>
      <c r="X221" s="60">
        <f t="shared" si="231"/>
        <v>0</v>
      </c>
      <c r="Y221" s="60">
        <f t="shared" si="231"/>
        <v>0</v>
      </c>
      <c r="Z221" s="60">
        <f t="shared" si="231"/>
        <v>0</v>
      </c>
      <c r="AB221" s="61">
        <f t="shared" si="217"/>
        <v>0</v>
      </c>
      <c r="AC221" s="60">
        <f t="shared" si="218"/>
        <v>0</v>
      </c>
      <c r="AD221" s="62">
        <f t="shared" si="219"/>
        <v>0</v>
      </c>
    </row>
    <row r="222" spans="1:30" x14ac:dyDescent="0.2">
      <c r="A222" s="248"/>
      <c r="B222" s="248"/>
      <c r="C222" s="30" t="s">
        <v>19</v>
      </c>
      <c r="D222" s="63">
        <f t="shared" ref="D222:Z222" si="232">IF(egcs_year_ship5&lt;=D$2,D168+D186+D204,NA())</f>
        <v>0</v>
      </c>
      <c r="E222" s="63">
        <f t="shared" si="232"/>
        <v>0</v>
      </c>
      <c r="F222" s="63">
        <f t="shared" si="232"/>
        <v>0</v>
      </c>
      <c r="G222" s="63">
        <f t="shared" si="232"/>
        <v>0</v>
      </c>
      <c r="H222" s="63">
        <f t="shared" si="232"/>
        <v>0</v>
      </c>
      <c r="I222" s="63">
        <f t="shared" si="232"/>
        <v>0</v>
      </c>
      <c r="J222" s="63">
        <f t="shared" si="232"/>
        <v>0</v>
      </c>
      <c r="K222" s="63">
        <f t="shared" si="232"/>
        <v>0</v>
      </c>
      <c r="L222" s="63">
        <f t="shared" si="232"/>
        <v>0</v>
      </c>
      <c r="M222" s="63">
        <f t="shared" si="232"/>
        <v>0</v>
      </c>
      <c r="N222" s="63">
        <f t="shared" si="232"/>
        <v>0</v>
      </c>
      <c r="O222" s="63">
        <f t="shared" si="232"/>
        <v>0</v>
      </c>
      <c r="P222" s="63">
        <f t="shared" si="232"/>
        <v>0</v>
      </c>
      <c r="Q222" s="63">
        <f t="shared" si="232"/>
        <v>0</v>
      </c>
      <c r="R222" s="63">
        <f t="shared" si="232"/>
        <v>0</v>
      </c>
      <c r="S222" s="63">
        <f t="shared" si="232"/>
        <v>0</v>
      </c>
      <c r="T222" s="63">
        <f t="shared" si="232"/>
        <v>0</v>
      </c>
      <c r="U222" s="63">
        <f t="shared" si="232"/>
        <v>0</v>
      </c>
      <c r="V222" s="63">
        <f t="shared" si="232"/>
        <v>0</v>
      </c>
      <c r="W222" s="63">
        <f t="shared" si="232"/>
        <v>0</v>
      </c>
      <c r="X222" s="63">
        <f t="shared" si="232"/>
        <v>0</v>
      </c>
      <c r="Y222" s="63">
        <f t="shared" si="232"/>
        <v>0</v>
      </c>
      <c r="Z222" s="63">
        <f t="shared" si="232"/>
        <v>0</v>
      </c>
      <c r="AB222" s="64">
        <f t="shared" si="217"/>
        <v>0</v>
      </c>
      <c r="AC222" s="63">
        <f t="shared" si="218"/>
        <v>0</v>
      </c>
      <c r="AD222" s="65">
        <f t="shared" si="219"/>
        <v>0</v>
      </c>
    </row>
    <row r="223" spans="1:30" x14ac:dyDescent="0.2">
      <c r="A223" s="248"/>
      <c r="B223" s="248">
        <f>ship6</f>
        <v>0</v>
      </c>
      <c r="C223" s="30" t="s">
        <v>17</v>
      </c>
      <c r="D223" s="56">
        <f t="shared" ref="D223:Z223" si="233">IF(egcs_year_ship6&lt;=D$2,D169+D187+D205,NA())</f>
        <v>0</v>
      </c>
      <c r="E223" s="56">
        <f t="shared" si="233"/>
        <v>0</v>
      </c>
      <c r="F223" s="56">
        <f t="shared" si="233"/>
        <v>0</v>
      </c>
      <c r="G223" s="56">
        <f t="shared" si="233"/>
        <v>0</v>
      </c>
      <c r="H223" s="56">
        <f t="shared" si="233"/>
        <v>0</v>
      </c>
      <c r="I223" s="56">
        <f t="shared" si="233"/>
        <v>0</v>
      </c>
      <c r="J223" s="56">
        <f t="shared" si="233"/>
        <v>0</v>
      </c>
      <c r="K223" s="56">
        <f t="shared" si="233"/>
        <v>0</v>
      </c>
      <c r="L223" s="56">
        <f t="shared" si="233"/>
        <v>0</v>
      </c>
      <c r="M223" s="56">
        <f>IF(egcs_year_ship6&lt;=M$2,M169+M187+M205,NA())</f>
        <v>0</v>
      </c>
      <c r="N223" s="56">
        <f t="shared" si="233"/>
        <v>0</v>
      </c>
      <c r="O223" s="56">
        <f t="shared" si="233"/>
        <v>0</v>
      </c>
      <c r="P223" s="56">
        <f t="shared" si="233"/>
        <v>0</v>
      </c>
      <c r="Q223" s="56">
        <f t="shared" si="233"/>
        <v>0</v>
      </c>
      <c r="R223" s="56">
        <f t="shared" si="233"/>
        <v>0</v>
      </c>
      <c r="S223" s="56">
        <f t="shared" si="233"/>
        <v>0</v>
      </c>
      <c r="T223" s="56">
        <f t="shared" si="233"/>
        <v>0</v>
      </c>
      <c r="U223" s="56">
        <f t="shared" si="233"/>
        <v>0</v>
      </c>
      <c r="V223" s="56">
        <f t="shared" si="233"/>
        <v>0</v>
      </c>
      <c r="W223" s="56">
        <f t="shared" si="233"/>
        <v>0</v>
      </c>
      <c r="X223" s="56">
        <f t="shared" si="233"/>
        <v>0</v>
      </c>
      <c r="Y223" s="56">
        <f t="shared" si="233"/>
        <v>0</v>
      </c>
      <c r="Z223" s="56">
        <f t="shared" si="233"/>
        <v>0</v>
      </c>
      <c r="AB223" s="66">
        <f t="shared" si="217"/>
        <v>0</v>
      </c>
      <c r="AC223" s="56">
        <f t="shared" si="218"/>
        <v>0</v>
      </c>
      <c r="AD223" s="67">
        <f t="shared" si="219"/>
        <v>0</v>
      </c>
    </row>
    <row r="224" spans="1:30" x14ac:dyDescent="0.2">
      <c r="A224" s="248"/>
      <c r="B224" s="248"/>
      <c r="C224" s="30" t="s">
        <v>18</v>
      </c>
      <c r="D224" s="60">
        <f t="shared" ref="D224:Z224" si="234">IF(egcs_year_ship6&lt;=D$2,D170+D188+D206,NA())</f>
        <v>0</v>
      </c>
      <c r="E224" s="60">
        <f t="shared" si="234"/>
        <v>0</v>
      </c>
      <c r="F224" s="60">
        <f t="shared" si="234"/>
        <v>0</v>
      </c>
      <c r="G224" s="60">
        <f t="shared" si="234"/>
        <v>0</v>
      </c>
      <c r="H224" s="60">
        <f t="shared" si="234"/>
        <v>0</v>
      </c>
      <c r="I224" s="60">
        <f t="shared" si="234"/>
        <v>0</v>
      </c>
      <c r="J224" s="60">
        <f t="shared" si="234"/>
        <v>0</v>
      </c>
      <c r="K224" s="60">
        <f t="shared" si="234"/>
        <v>0</v>
      </c>
      <c r="L224" s="60">
        <f t="shared" si="234"/>
        <v>0</v>
      </c>
      <c r="M224" s="60">
        <f t="shared" si="234"/>
        <v>0</v>
      </c>
      <c r="N224" s="60">
        <f t="shared" si="234"/>
        <v>0</v>
      </c>
      <c r="O224" s="60">
        <f t="shared" si="234"/>
        <v>0</v>
      </c>
      <c r="P224" s="60">
        <f t="shared" si="234"/>
        <v>0</v>
      </c>
      <c r="Q224" s="60">
        <f t="shared" si="234"/>
        <v>0</v>
      </c>
      <c r="R224" s="60">
        <f t="shared" si="234"/>
        <v>0</v>
      </c>
      <c r="S224" s="60">
        <f t="shared" si="234"/>
        <v>0</v>
      </c>
      <c r="T224" s="60">
        <f t="shared" si="234"/>
        <v>0</v>
      </c>
      <c r="U224" s="60">
        <f t="shared" si="234"/>
        <v>0</v>
      </c>
      <c r="V224" s="60">
        <f t="shared" si="234"/>
        <v>0</v>
      </c>
      <c r="W224" s="60">
        <f t="shared" si="234"/>
        <v>0</v>
      </c>
      <c r="X224" s="60">
        <f t="shared" si="234"/>
        <v>0</v>
      </c>
      <c r="Y224" s="60">
        <f t="shared" si="234"/>
        <v>0</v>
      </c>
      <c r="Z224" s="60">
        <f t="shared" si="234"/>
        <v>0</v>
      </c>
      <c r="AB224" s="61">
        <f t="shared" si="217"/>
        <v>0</v>
      </c>
      <c r="AC224" s="60">
        <f t="shared" si="218"/>
        <v>0</v>
      </c>
      <c r="AD224" s="62">
        <f t="shared" si="219"/>
        <v>0</v>
      </c>
    </row>
    <row r="225" spans="1:30" ht="13.5" thickBot="1" x14ac:dyDescent="0.25">
      <c r="A225" s="248"/>
      <c r="B225" s="248"/>
      <c r="C225" s="30" t="s">
        <v>19</v>
      </c>
      <c r="D225" s="63">
        <f t="shared" ref="D225:Z225" si="235">IF(egcs_year_ship6&lt;=D$2,D171+D189+D207,NA())</f>
        <v>0</v>
      </c>
      <c r="E225" s="63">
        <f t="shared" si="235"/>
        <v>0</v>
      </c>
      <c r="F225" s="63">
        <f t="shared" si="235"/>
        <v>0</v>
      </c>
      <c r="G225" s="63">
        <f t="shared" si="235"/>
        <v>0</v>
      </c>
      <c r="H225" s="63">
        <f t="shared" si="235"/>
        <v>0</v>
      </c>
      <c r="I225" s="63">
        <f t="shared" si="235"/>
        <v>0</v>
      </c>
      <c r="J225" s="63">
        <f t="shared" si="235"/>
        <v>0</v>
      </c>
      <c r="K225" s="63">
        <f t="shared" si="235"/>
        <v>0</v>
      </c>
      <c r="L225" s="63">
        <f t="shared" si="235"/>
        <v>0</v>
      </c>
      <c r="M225" s="63">
        <f t="shared" si="235"/>
        <v>0</v>
      </c>
      <c r="N225" s="63">
        <f t="shared" si="235"/>
        <v>0</v>
      </c>
      <c r="O225" s="63">
        <f t="shared" si="235"/>
        <v>0</v>
      </c>
      <c r="P225" s="63">
        <f t="shared" si="235"/>
        <v>0</v>
      </c>
      <c r="Q225" s="63">
        <f t="shared" si="235"/>
        <v>0</v>
      </c>
      <c r="R225" s="63">
        <f t="shared" si="235"/>
        <v>0</v>
      </c>
      <c r="S225" s="63">
        <f t="shared" si="235"/>
        <v>0</v>
      </c>
      <c r="T225" s="63">
        <f t="shared" si="235"/>
        <v>0</v>
      </c>
      <c r="U225" s="63">
        <f t="shared" si="235"/>
        <v>0</v>
      </c>
      <c r="V225" s="63">
        <f t="shared" si="235"/>
        <v>0</v>
      </c>
      <c r="W225" s="63">
        <f t="shared" si="235"/>
        <v>0</v>
      </c>
      <c r="X225" s="63">
        <f t="shared" si="235"/>
        <v>0</v>
      </c>
      <c r="Y225" s="63">
        <f t="shared" si="235"/>
        <v>0</v>
      </c>
      <c r="Z225" s="63">
        <f t="shared" si="235"/>
        <v>0</v>
      </c>
      <c r="AB225" s="68">
        <f t="shared" si="217"/>
        <v>0</v>
      </c>
      <c r="AC225" s="69">
        <f t="shared" si="218"/>
        <v>0</v>
      </c>
      <c r="AD225" s="70">
        <f t="shared" si="219"/>
        <v>0</v>
      </c>
    </row>
    <row r="226" spans="1:30" ht="12.75" customHeight="1" x14ac:dyDescent="0.2">
      <c r="A226" s="248" t="s">
        <v>40</v>
      </c>
      <c r="B226" s="248">
        <f>ship_plot</f>
        <v>0</v>
      </c>
      <c r="C226" s="30" t="s">
        <v>17</v>
      </c>
      <c r="D226" s="56">
        <f t="shared" ref="D226:Z226" si="236">IF(ship_plot=ship1,D208,IF(ship_plot=ship2,D211,IF(ship_plot=ship3,D214,IF(ship_plot=ship4,D217,IF(ship_plot=ship5,D220,IF(ship_plot=ship6,D223,"error"))))))</f>
        <v>0</v>
      </c>
      <c r="E226" s="56">
        <f t="shared" si="236"/>
        <v>0</v>
      </c>
      <c r="F226" s="56">
        <f t="shared" si="236"/>
        <v>0</v>
      </c>
      <c r="G226" s="56">
        <f t="shared" si="236"/>
        <v>0</v>
      </c>
      <c r="H226" s="56">
        <f t="shared" si="236"/>
        <v>0</v>
      </c>
      <c r="I226" s="56">
        <f t="shared" si="236"/>
        <v>0</v>
      </c>
      <c r="J226" s="56">
        <f t="shared" si="236"/>
        <v>0</v>
      </c>
      <c r="K226" s="56">
        <f t="shared" si="236"/>
        <v>0</v>
      </c>
      <c r="L226" s="56">
        <f t="shared" si="236"/>
        <v>0</v>
      </c>
      <c r="M226" s="56">
        <f t="shared" si="236"/>
        <v>0</v>
      </c>
      <c r="N226" s="56">
        <f t="shared" si="236"/>
        <v>0</v>
      </c>
      <c r="O226" s="56">
        <f t="shared" si="236"/>
        <v>0</v>
      </c>
      <c r="P226" s="56">
        <f t="shared" si="236"/>
        <v>0</v>
      </c>
      <c r="Q226" s="56">
        <f t="shared" si="236"/>
        <v>0</v>
      </c>
      <c r="R226" s="56">
        <f t="shared" si="236"/>
        <v>0</v>
      </c>
      <c r="S226" s="56">
        <f t="shared" si="236"/>
        <v>0</v>
      </c>
      <c r="T226" s="56">
        <f t="shared" si="236"/>
        <v>0</v>
      </c>
      <c r="U226" s="56">
        <f t="shared" si="236"/>
        <v>0</v>
      </c>
      <c r="V226" s="56">
        <f t="shared" si="236"/>
        <v>0</v>
      </c>
      <c r="W226" s="56">
        <f t="shared" si="236"/>
        <v>0</v>
      </c>
      <c r="X226" s="56">
        <f t="shared" si="236"/>
        <v>0</v>
      </c>
      <c r="Y226" s="56">
        <f t="shared" si="236"/>
        <v>0</v>
      </c>
      <c r="Z226" s="56">
        <f t="shared" si="236"/>
        <v>0</v>
      </c>
      <c r="AB226" s="66">
        <f t="shared" si="217"/>
        <v>0</v>
      </c>
      <c r="AC226" s="56">
        <f t="shared" si="218"/>
        <v>0</v>
      </c>
      <c r="AD226" s="67">
        <f t="shared" si="219"/>
        <v>0</v>
      </c>
    </row>
    <row r="227" spans="1:30" x14ac:dyDescent="0.2">
      <c r="A227" s="248"/>
      <c r="B227" s="248"/>
      <c r="C227" s="30" t="s">
        <v>18</v>
      </c>
      <c r="D227" s="60">
        <f t="shared" ref="D227:Z227" si="237">IF(ship_plot=ship1,D209,IF(ship_plot=ship2,D212,IF(ship_plot=ship3,D215,IF(ship_plot=ship4,D218,IF(ship_plot=ship5,D221,IF(ship_plot=ship6,D224,"error"))))))</f>
        <v>0</v>
      </c>
      <c r="E227" s="60">
        <f t="shared" si="237"/>
        <v>0</v>
      </c>
      <c r="F227" s="60">
        <f t="shared" si="237"/>
        <v>0</v>
      </c>
      <c r="G227" s="60">
        <f t="shared" si="237"/>
        <v>0</v>
      </c>
      <c r="H227" s="60">
        <f t="shared" si="237"/>
        <v>0</v>
      </c>
      <c r="I227" s="60">
        <f t="shared" si="237"/>
        <v>0</v>
      </c>
      <c r="J227" s="60">
        <f t="shared" si="237"/>
        <v>0</v>
      </c>
      <c r="K227" s="60">
        <f t="shared" si="237"/>
        <v>0</v>
      </c>
      <c r="L227" s="60">
        <f t="shared" si="237"/>
        <v>0</v>
      </c>
      <c r="M227" s="60">
        <f t="shared" si="237"/>
        <v>0</v>
      </c>
      <c r="N227" s="60">
        <f t="shared" si="237"/>
        <v>0</v>
      </c>
      <c r="O227" s="60">
        <f t="shared" si="237"/>
        <v>0</v>
      </c>
      <c r="P227" s="60">
        <f t="shared" si="237"/>
        <v>0</v>
      </c>
      <c r="Q227" s="60">
        <f t="shared" si="237"/>
        <v>0</v>
      </c>
      <c r="R227" s="60">
        <f t="shared" si="237"/>
        <v>0</v>
      </c>
      <c r="S227" s="60">
        <f t="shared" si="237"/>
        <v>0</v>
      </c>
      <c r="T227" s="60">
        <f t="shared" si="237"/>
        <v>0</v>
      </c>
      <c r="U227" s="60">
        <f t="shared" si="237"/>
        <v>0</v>
      </c>
      <c r="V227" s="60">
        <f t="shared" si="237"/>
        <v>0</v>
      </c>
      <c r="W227" s="60">
        <f t="shared" si="237"/>
        <v>0</v>
      </c>
      <c r="X227" s="60">
        <f t="shared" si="237"/>
        <v>0</v>
      </c>
      <c r="Y227" s="60">
        <f t="shared" si="237"/>
        <v>0</v>
      </c>
      <c r="Z227" s="60">
        <f t="shared" si="237"/>
        <v>0</v>
      </c>
      <c r="AB227" s="61">
        <f t="shared" si="217"/>
        <v>0</v>
      </c>
      <c r="AC227" s="60">
        <f t="shared" si="218"/>
        <v>0</v>
      </c>
      <c r="AD227" s="62">
        <f t="shared" si="219"/>
        <v>0</v>
      </c>
    </row>
    <row r="228" spans="1:30" ht="13.5" thickBot="1" x14ac:dyDescent="0.25">
      <c r="A228" s="248"/>
      <c r="B228" s="248"/>
      <c r="C228" s="30" t="s">
        <v>19</v>
      </c>
      <c r="D228" s="63">
        <f t="shared" ref="D228:Z228" si="238">IF(ship_plot=ship1,D210,IF(ship_plot=ship2,D213,IF(ship_plot=ship3,D216,IF(ship_plot=ship4,D219,IF(ship_plot=ship5,D222,IF(ship_plot=ship6,D225,"error"))))))</f>
        <v>0</v>
      </c>
      <c r="E228" s="63">
        <f t="shared" si="238"/>
        <v>0</v>
      </c>
      <c r="F228" s="63">
        <f t="shared" si="238"/>
        <v>0</v>
      </c>
      <c r="G228" s="63">
        <f t="shared" si="238"/>
        <v>0</v>
      </c>
      <c r="H228" s="63">
        <f t="shared" si="238"/>
        <v>0</v>
      </c>
      <c r="I228" s="63">
        <f t="shared" si="238"/>
        <v>0</v>
      </c>
      <c r="J228" s="63">
        <f t="shared" si="238"/>
        <v>0</v>
      </c>
      <c r="K228" s="63">
        <f t="shared" si="238"/>
        <v>0</v>
      </c>
      <c r="L228" s="63">
        <f t="shared" si="238"/>
        <v>0</v>
      </c>
      <c r="M228" s="63">
        <f t="shared" si="238"/>
        <v>0</v>
      </c>
      <c r="N228" s="63">
        <f t="shared" si="238"/>
        <v>0</v>
      </c>
      <c r="O228" s="63">
        <f t="shared" si="238"/>
        <v>0</v>
      </c>
      <c r="P228" s="63">
        <f t="shared" si="238"/>
        <v>0</v>
      </c>
      <c r="Q228" s="63">
        <f t="shared" si="238"/>
        <v>0</v>
      </c>
      <c r="R228" s="63">
        <f t="shared" si="238"/>
        <v>0</v>
      </c>
      <c r="S228" s="63">
        <f t="shared" si="238"/>
        <v>0</v>
      </c>
      <c r="T228" s="63">
        <f t="shared" si="238"/>
        <v>0</v>
      </c>
      <c r="U228" s="63">
        <f t="shared" si="238"/>
        <v>0</v>
      </c>
      <c r="V228" s="63">
        <f t="shared" si="238"/>
        <v>0</v>
      </c>
      <c r="W228" s="63">
        <f t="shared" si="238"/>
        <v>0</v>
      </c>
      <c r="X228" s="63">
        <f t="shared" si="238"/>
        <v>0</v>
      </c>
      <c r="Y228" s="63">
        <f t="shared" si="238"/>
        <v>0</v>
      </c>
      <c r="Z228" s="63">
        <f t="shared" si="238"/>
        <v>0</v>
      </c>
      <c r="AB228" s="68">
        <f t="shared" si="217"/>
        <v>0</v>
      </c>
      <c r="AC228" s="69">
        <f t="shared" si="218"/>
        <v>0</v>
      </c>
      <c r="AD228" s="70">
        <f t="shared" si="219"/>
        <v>0</v>
      </c>
    </row>
    <row r="229" spans="1:30" ht="12.75" customHeight="1" thickBot="1" x14ac:dyDescent="0.25">
      <c r="A229" s="76" t="s">
        <v>51</v>
      </c>
      <c r="B229" s="76">
        <f>ship_plot</f>
        <v>0</v>
      </c>
      <c r="C229" s="77">
        <f>scenario_display</f>
        <v>0</v>
      </c>
      <c r="D229" s="78">
        <f t="shared" ref="D229:Z229" si="239">IF(scenario_display="Low",D226,IF(scenario_display="Medium",D227,D228))</f>
        <v>0</v>
      </c>
      <c r="E229" s="78">
        <f t="shared" si="239"/>
        <v>0</v>
      </c>
      <c r="F229" s="78">
        <f t="shared" si="239"/>
        <v>0</v>
      </c>
      <c r="G229" s="78">
        <f t="shared" si="239"/>
        <v>0</v>
      </c>
      <c r="H229" s="78">
        <f t="shared" si="239"/>
        <v>0</v>
      </c>
      <c r="I229" s="78">
        <f t="shared" si="239"/>
        <v>0</v>
      </c>
      <c r="J229" s="78">
        <f t="shared" si="239"/>
        <v>0</v>
      </c>
      <c r="K229" s="78">
        <f t="shared" si="239"/>
        <v>0</v>
      </c>
      <c r="L229" s="78">
        <f t="shared" si="239"/>
        <v>0</v>
      </c>
      <c r="M229" s="78">
        <f t="shared" si="239"/>
        <v>0</v>
      </c>
      <c r="N229" s="78">
        <f t="shared" si="239"/>
        <v>0</v>
      </c>
      <c r="O229" s="78">
        <f t="shared" si="239"/>
        <v>0</v>
      </c>
      <c r="P229" s="78">
        <f t="shared" si="239"/>
        <v>0</v>
      </c>
      <c r="Q229" s="78">
        <f t="shared" si="239"/>
        <v>0</v>
      </c>
      <c r="R229" s="78">
        <f t="shared" si="239"/>
        <v>0</v>
      </c>
      <c r="S229" s="78">
        <f t="shared" si="239"/>
        <v>0</v>
      </c>
      <c r="T229" s="78">
        <f t="shared" si="239"/>
        <v>0</v>
      </c>
      <c r="U229" s="78">
        <f t="shared" si="239"/>
        <v>0</v>
      </c>
      <c r="V229" s="78">
        <f t="shared" si="239"/>
        <v>0</v>
      </c>
      <c r="W229" s="78">
        <f t="shared" si="239"/>
        <v>0</v>
      </c>
      <c r="X229" s="78">
        <f t="shared" si="239"/>
        <v>0</v>
      </c>
      <c r="Y229" s="78">
        <f t="shared" si="239"/>
        <v>0</v>
      </c>
      <c r="Z229" s="78">
        <f t="shared" si="239"/>
        <v>0</v>
      </c>
      <c r="AB229" s="105">
        <f>IF(scenario_display="Low",AB226,IF(scenario_display="Medium",AB227,AB228))</f>
        <v>0</v>
      </c>
      <c r="AC229" s="105">
        <f>IF(scenario_display="Low",AC226,IF(scenario_display="Medium",AC227,AC228))</f>
        <v>0</v>
      </c>
      <c r="AD229" s="105">
        <f>IF(scenario_display="Low",AD226,IF(scenario_display="Medium",AD227,AD228))</f>
        <v>0</v>
      </c>
    </row>
    <row r="230" spans="1:30" ht="12.75" customHeight="1" x14ac:dyDescent="0.2">
      <c r="A230" s="248" t="s">
        <v>75</v>
      </c>
      <c r="B230" s="248">
        <f>ship_plot</f>
        <v>0</v>
      </c>
      <c r="C230" s="30" t="s">
        <v>17</v>
      </c>
      <c r="D230" s="56" t="e">
        <f t="shared" ref="D230:Z230" si="240">IF(npv_year_zero&lt;=D$2,IF(ship_plot=ship1,(ship1_timeECA)*(D154)+ D190,IF(ship_plot=ship2,(ship2_timeECA)*(D157)+D193,IF(ship_plot=ship3,(ship3_timeECA)*(D160)+D196,IF(ship_plot=ship4,(ship4_timeECA)*(D163)+D199,IF(ship_plot=ship5,(ship5_timeECA)*(D166)+D202,IF(ship_plot=ship6,(ship6_timeECA)*(D169)+D205,"error")))))),NA())</f>
        <v>#N/A</v>
      </c>
      <c r="E230" s="56" t="e">
        <f t="shared" si="240"/>
        <v>#N/A</v>
      </c>
      <c r="F230" s="56" t="e">
        <f t="shared" si="240"/>
        <v>#N/A</v>
      </c>
      <c r="G230" s="56" t="e">
        <f t="shared" si="240"/>
        <v>#N/A</v>
      </c>
      <c r="H230" s="56" t="e">
        <f t="shared" si="240"/>
        <v>#N/A</v>
      </c>
      <c r="I230" s="56" t="e">
        <f t="shared" si="240"/>
        <v>#N/A</v>
      </c>
      <c r="J230" s="56" t="e">
        <f t="shared" si="240"/>
        <v>#N/A</v>
      </c>
      <c r="K230" s="56" t="e">
        <f t="shared" si="240"/>
        <v>#N/A</v>
      </c>
      <c r="L230" s="56" t="e">
        <f t="shared" si="240"/>
        <v>#N/A</v>
      </c>
      <c r="M230" s="56" t="e">
        <f t="shared" si="240"/>
        <v>#N/A</v>
      </c>
      <c r="N230" s="56" t="e">
        <f t="shared" si="240"/>
        <v>#N/A</v>
      </c>
      <c r="O230" s="56" t="e">
        <f t="shared" si="240"/>
        <v>#N/A</v>
      </c>
      <c r="P230" s="56" t="e">
        <f t="shared" si="240"/>
        <v>#N/A</v>
      </c>
      <c r="Q230" s="56" t="e">
        <f t="shared" si="240"/>
        <v>#N/A</v>
      </c>
      <c r="R230" s="56" t="e">
        <f t="shared" si="240"/>
        <v>#N/A</v>
      </c>
      <c r="S230" s="56" t="e">
        <f t="shared" si="240"/>
        <v>#N/A</v>
      </c>
      <c r="T230" s="56" t="e">
        <f t="shared" si="240"/>
        <v>#N/A</v>
      </c>
      <c r="U230" s="56" t="e">
        <f t="shared" si="240"/>
        <v>#N/A</v>
      </c>
      <c r="V230" s="56" t="e">
        <f t="shared" si="240"/>
        <v>#N/A</v>
      </c>
      <c r="W230" s="56" t="e">
        <f t="shared" si="240"/>
        <v>#N/A</v>
      </c>
      <c r="X230" s="56" t="e">
        <f t="shared" si="240"/>
        <v>#N/A</v>
      </c>
      <c r="Y230" s="56" t="e">
        <f t="shared" si="240"/>
        <v>#N/A</v>
      </c>
      <c r="Z230" s="56" t="e">
        <f t="shared" si="240"/>
        <v>#N/A</v>
      </c>
      <c r="AB230" s="82" t="e">
        <f t="shared" ref="AB230:AB235" si="241">10^(-6)*SUMIF(D230:E230,"&lt;&gt;#N/A")/COUNTIF(D230:E230,"&lt;&gt;#N/A")</f>
        <v>#DIV/0!</v>
      </c>
      <c r="AC230" s="83" t="e">
        <f t="shared" ref="AC230:AC235" si="242">10^(-6)*SUMIF(F230:J230,"&lt;&gt;#N/A")/COUNTIF(F230:J230,"&lt;&gt;#N/A")</f>
        <v>#DIV/0!</v>
      </c>
      <c r="AD230" s="84" t="e">
        <f t="shared" ref="AD230:AD235" si="243">10^(-6)*SUMIF(K230:Z230,"&lt;&gt;#N/A")/COUNTIF(K230:Z230,"&lt;&gt;#N/A")</f>
        <v>#DIV/0!</v>
      </c>
    </row>
    <row r="231" spans="1:30" x14ac:dyDescent="0.2">
      <c r="A231" s="248"/>
      <c r="B231" s="248"/>
      <c r="C231" s="30" t="s">
        <v>18</v>
      </c>
      <c r="D231" s="60" t="e">
        <f t="shared" ref="D231:Z231" si="244">IF(npv_year_zero&lt;=D$2,IF(ship_plot=ship1,(ship1_timeECA)*(D155)+ D191,IF(ship_plot=ship2,(ship2_timeECA)*(D158)+D194,IF(ship_plot=ship3,(ship3_timeECA)*(D161)+D197,IF(ship_plot=ship4,(ship4_timeECA)*(D164)+D200,IF(ship_plot=ship5,(ship5_timeECA)*(D167)+D203,IF(ship_plot=ship6,(ship6_timeECA)*(D170)+D206,"error")))))),NA())</f>
        <v>#N/A</v>
      </c>
      <c r="E231" s="60" t="e">
        <f t="shared" si="244"/>
        <v>#N/A</v>
      </c>
      <c r="F231" s="60" t="e">
        <f t="shared" si="244"/>
        <v>#N/A</v>
      </c>
      <c r="G231" s="60" t="e">
        <f t="shared" si="244"/>
        <v>#N/A</v>
      </c>
      <c r="H231" s="60" t="e">
        <f t="shared" si="244"/>
        <v>#N/A</v>
      </c>
      <c r="I231" s="60" t="e">
        <f t="shared" si="244"/>
        <v>#N/A</v>
      </c>
      <c r="J231" s="60" t="e">
        <f t="shared" si="244"/>
        <v>#N/A</v>
      </c>
      <c r="K231" s="60" t="e">
        <f t="shared" si="244"/>
        <v>#N/A</v>
      </c>
      <c r="L231" s="60" t="e">
        <f t="shared" si="244"/>
        <v>#N/A</v>
      </c>
      <c r="M231" s="60" t="e">
        <f t="shared" si="244"/>
        <v>#N/A</v>
      </c>
      <c r="N231" s="60" t="e">
        <f t="shared" si="244"/>
        <v>#N/A</v>
      </c>
      <c r="O231" s="60" t="e">
        <f t="shared" si="244"/>
        <v>#N/A</v>
      </c>
      <c r="P231" s="60" t="e">
        <f t="shared" si="244"/>
        <v>#N/A</v>
      </c>
      <c r="Q231" s="60" t="e">
        <f t="shared" si="244"/>
        <v>#N/A</v>
      </c>
      <c r="R231" s="60" t="e">
        <f t="shared" si="244"/>
        <v>#N/A</v>
      </c>
      <c r="S231" s="60" t="e">
        <f t="shared" si="244"/>
        <v>#N/A</v>
      </c>
      <c r="T231" s="60" t="e">
        <f t="shared" si="244"/>
        <v>#N/A</v>
      </c>
      <c r="U231" s="60" t="e">
        <f t="shared" si="244"/>
        <v>#N/A</v>
      </c>
      <c r="V231" s="60" t="e">
        <f t="shared" si="244"/>
        <v>#N/A</v>
      </c>
      <c r="W231" s="60" t="e">
        <f t="shared" si="244"/>
        <v>#N/A</v>
      </c>
      <c r="X231" s="60" t="e">
        <f t="shared" si="244"/>
        <v>#N/A</v>
      </c>
      <c r="Y231" s="60" t="e">
        <f t="shared" si="244"/>
        <v>#N/A</v>
      </c>
      <c r="Z231" s="60" t="e">
        <f t="shared" si="244"/>
        <v>#N/A</v>
      </c>
      <c r="AB231" s="85" t="e">
        <f t="shared" si="241"/>
        <v>#DIV/0!</v>
      </c>
      <c r="AC231" s="86" t="e">
        <f t="shared" si="242"/>
        <v>#DIV/0!</v>
      </c>
      <c r="AD231" s="87" t="e">
        <f t="shared" si="243"/>
        <v>#DIV/0!</v>
      </c>
    </row>
    <row r="232" spans="1:30" ht="13.5" thickBot="1" x14ac:dyDescent="0.25">
      <c r="A232" s="248"/>
      <c r="B232" s="248"/>
      <c r="C232" s="30" t="s">
        <v>19</v>
      </c>
      <c r="D232" s="63" t="e">
        <f t="shared" ref="D232:Z232" si="245">IF(npv_year_zero&lt;=D$2,IF(ship_plot=ship1,(ship1_timeECA)*(D156)+ D192,IF(ship_plot=ship2,(ship2_timeECA)*(D159)+D195,IF(ship_plot=ship3,(ship3_timeECA)*(D162)+D198,IF(ship_plot=ship4,(ship4_timeECA)*(D165)+D201,IF(ship_plot=ship5,(ship5_timeECA)*(D168)+D204,IF(ship_plot=ship6,(ship6_timeECA)*(D171)+D207,"error")))))),NA())</f>
        <v>#N/A</v>
      </c>
      <c r="E232" s="63" t="e">
        <f t="shared" si="245"/>
        <v>#N/A</v>
      </c>
      <c r="F232" s="63" t="e">
        <f t="shared" si="245"/>
        <v>#N/A</v>
      </c>
      <c r="G232" s="63" t="e">
        <f t="shared" si="245"/>
        <v>#N/A</v>
      </c>
      <c r="H232" s="63" t="e">
        <f t="shared" si="245"/>
        <v>#N/A</v>
      </c>
      <c r="I232" s="63" t="e">
        <f t="shared" si="245"/>
        <v>#N/A</v>
      </c>
      <c r="J232" s="63" t="e">
        <f t="shared" si="245"/>
        <v>#N/A</v>
      </c>
      <c r="K232" s="63" t="e">
        <f t="shared" si="245"/>
        <v>#N/A</v>
      </c>
      <c r="L232" s="63" t="e">
        <f t="shared" si="245"/>
        <v>#N/A</v>
      </c>
      <c r="M232" s="63" t="e">
        <f t="shared" si="245"/>
        <v>#N/A</v>
      </c>
      <c r="N232" s="63" t="e">
        <f t="shared" si="245"/>
        <v>#N/A</v>
      </c>
      <c r="O232" s="63" t="e">
        <f t="shared" si="245"/>
        <v>#N/A</v>
      </c>
      <c r="P232" s="63" t="e">
        <f t="shared" si="245"/>
        <v>#N/A</v>
      </c>
      <c r="Q232" s="63" t="e">
        <f t="shared" si="245"/>
        <v>#N/A</v>
      </c>
      <c r="R232" s="63" t="e">
        <f t="shared" si="245"/>
        <v>#N/A</v>
      </c>
      <c r="S232" s="63" t="e">
        <f t="shared" si="245"/>
        <v>#N/A</v>
      </c>
      <c r="T232" s="63" t="e">
        <f t="shared" si="245"/>
        <v>#N/A</v>
      </c>
      <c r="U232" s="63" t="e">
        <f t="shared" si="245"/>
        <v>#N/A</v>
      </c>
      <c r="V232" s="63" t="e">
        <f t="shared" si="245"/>
        <v>#N/A</v>
      </c>
      <c r="W232" s="63" t="e">
        <f t="shared" si="245"/>
        <v>#N/A</v>
      </c>
      <c r="X232" s="63" t="e">
        <f t="shared" si="245"/>
        <v>#N/A</v>
      </c>
      <c r="Y232" s="63" t="e">
        <f t="shared" si="245"/>
        <v>#N/A</v>
      </c>
      <c r="Z232" s="63" t="e">
        <f t="shared" si="245"/>
        <v>#N/A</v>
      </c>
      <c r="AB232" s="88" t="e">
        <f t="shared" si="241"/>
        <v>#DIV/0!</v>
      </c>
      <c r="AC232" s="89" t="e">
        <f t="shared" si="242"/>
        <v>#DIV/0!</v>
      </c>
      <c r="AD232" s="90" t="e">
        <f t="shared" si="243"/>
        <v>#DIV/0!</v>
      </c>
    </row>
    <row r="233" spans="1:30" ht="12.75" customHeight="1" x14ac:dyDescent="0.2">
      <c r="A233" s="248" t="s">
        <v>76</v>
      </c>
      <c r="B233" s="248">
        <f>ship_plot</f>
        <v>0</v>
      </c>
      <c r="C233" s="30" t="s">
        <v>17</v>
      </c>
      <c r="D233" s="56" t="e">
        <f t="shared" ref="D233:Z233" si="246">IF(npv_year_zero&lt;=D$2,IF(ship_plot=ship1,(1-ship1_timeECA)*(D154)+ D172,IF(ship_plot=ship2,(1-ship2_timeECA)*(D157)+D175,IF(ship_plot=ship3,(1-ship3_timeECA)*(D160)+D178,IF(ship_plot=ship4,(1-ship4_timeECA)*(D163)+D181,IF(ship_plot=ship5,(1-ship5_timeECA)*(D166)+D184,IF(ship_plot=ship6,(1-ship6_timeECA)*(D169)+D187,"error")))))),NA())</f>
        <v>#N/A</v>
      </c>
      <c r="E233" s="56" t="e">
        <f t="shared" si="246"/>
        <v>#N/A</v>
      </c>
      <c r="F233" s="56" t="e">
        <f t="shared" si="246"/>
        <v>#N/A</v>
      </c>
      <c r="G233" s="56" t="e">
        <f t="shared" si="246"/>
        <v>#N/A</v>
      </c>
      <c r="H233" s="56" t="e">
        <f t="shared" si="246"/>
        <v>#N/A</v>
      </c>
      <c r="I233" s="56" t="e">
        <f t="shared" si="246"/>
        <v>#N/A</v>
      </c>
      <c r="J233" s="56" t="e">
        <f t="shared" si="246"/>
        <v>#N/A</v>
      </c>
      <c r="K233" s="56" t="e">
        <f t="shared" si="246"/>
        <v>#N/A</v>
      </c>
      <c r="L233" s="56" t="e">
        <f t="shared" si="246"/>
        <v>#N/A</v>
      </c>
      <c r="M233" s="56" t="e">
        <f t="shared" si="246"/>
        <v>#N/A</v>
      </c>
      <c r="N233" s="56" t="e">
        <f t="shared" si="246"/>
        <v>#N/A</v>
      </c>
      <c r="O233" s="56" t="e">
        <f t="shared" si="246"/>
        <v>#N/A</v>
      </c>
      <c r="P233" s="56" t="e">
        <f t="shared" si="246"/>
        <v>#N/A</v>
      </c>
      <c r="Q233" s="56" t="e">
        <f t="shared" si="246"/>
        <v>#N/A</v>
      </c>
      <c r="R233" s="56" t="e">
        <f t="shared" si="246"/>
        <v>#N/A</v>
      </c>
      <c r="S233" s="56" t="e">
        <f t="shared" si="246"/>
        <v>#N/A</v>
      </c>
      <c r="T233" s="56" t="e">
        <f t="shared" si="246"/>
        <v>#N/A</v>
      </c>
      <c r="U233" s="56" t="e">
        <f t="shared" si="246"/>
        <v>#N/A</v>
      </c>
      <c r="V233" s="56" t="e">
        <f t="shared" si="246"/>
        <v>#N/A</v>
      </c>
      <c r="W233" s="56" t="e">
        <f t="shared" si="246"/>
        <v>#N/A</v>
      </c>
      <c r="X233" s="56" t="e">
        <f t="shared" si="246"/>
        <v>#N/A</v>
      </c>
      <c r="Y233" s="56" t="e">
        <f t="shared" si="246"/>
        <v>#N/A</v>
      </c>
      <c r="Z233" s="56" t="e">
        <f t="shared" si="246"/>
        <v>#N/A</v>
      </c>
      <c r="AB233" s="91" t="e">
        <f t="shared" si="241"/>
        <v>#DIV/0!</v>
      </c>
      <c r="AC233" s="92" t="e">
        <f t="shared" si="242"/>
        <v>#DIV/0!</v>
      </c>
      <c r="AD233" s="93" t="e">
        <f t="shared" si="243"/>
        <v>#DIV/0!</v>
      </c>
    </row>
    <row r="234" spans="1:30" x14ac:dyDescent="0.2">
      <c r="A234" s="248"/>
      <c r="B234" s="248"/>
      <c r="C234" s="30" t="s">
        <v>18</v>
      </c>
      <c r="D234" s="60" t="e">
        <f t="shared" ref="D234:Z234" si="247">IF(npv_year_zero&lt;=D$2,IF(ship_plot=ship1,(1-ship1_timeECA)*(D155)+ D173,IF(ship_plot=ship2,(1-ship2_timeECA)*(D158)+D176,IF(ship_plot=ship3,(1-ship3_timeECA)*(D161)+D179,IF(ship_plot=ship4,(1-ship4_timeECA)*(D164)+D182,IF(ship_plot=ship5,(1-ship5_timeECA)*(D167)+D185,IF(ship_plot=ship6,(1-ship6_timeECA)*(D170)+D188,"error")))))),NA())</f>
        <v>#N/A</v>
      </c>
      <c r="E234" s="60" t="e">
        <f t="shared" si="247"/>
        <v>#N/A</v>
      </c>
      <c r="F234" s="60" t="e">
        <f t="shared" si="247"/>
        <v>#N/A</v>
      </c>
      <c r="G234" s="60" t="e">
        <f t="shared" si="247"/>
        <v>#N/A</v>
      </c>
      <c r="H234" s="60" t="e">
        <f t="shared" si="247"/>
        <v>#N/A</v>
      </c>
      <c r="I234" s="60" t="e">
        <f t="shared" si="247"/>
        <v>#N/A</v>
      </c>
      <c r="J234" s="60" t="e">
        <f t="shared" si="247"/>
        <v>#N/A</v>
      </c>
      <c r="K234" s="60" t="e">
        <f t="shared" si="247"/>
        <v>#N/A</v>
      </c>
      <c r="L234" s="60" t="e">
        <f t="shared" si="247"/>
        <v>#N/A</v>
      </c>
      <c r="M234" s="60" t="e">
        <f t="shared" si="247"/>
        <v>#N/A</v>
      </c>
      <c r="N234" s="60" t="e">
        <f t="shared" si="247"/>
        <v>#N/A</v>
      </c>
      <c r="O234" s="60" t="e">
        <f t="shared" si="247"/>
        <v>#N/A</v>
      </c>
      <c r="P234" s="60" t="e">
        <f t="shared" si="247"/>
        <v>#N/A</v>
      </c>
      <c r="Q234" s="60" t="e">
        <f t="shared" si="247"/>
        <v>#N/A</v>
      </c>
      <c r="R234" s="60" t="e">
        <f t="shared" si="247"/>
        <v>#N/A</v>
      </c>
      <c r="S234" s="60" t="e">
        <f t="shared" si="247"/>
        <v>#N/A</v>
      </c>
      <c r="T234" s="60" t="e">
        <f t="shared" si="247"/>
        <v>#N/A</v>
      </c>
      <c r="U234" s="60" t="e">
        <f t="shared" si="247"/>
        <v>#N/A</v>
      </c>
      <c r="V234" s="60" t="e">
        <f t="shared" si="247"/>
        <v>#N/A</v>
      </c>
      <c r="W234" s="60" t="e">
        <f t="shared" si="247"/>
        <v>#N/A</v>
      </c>
      <c r="X234" s="60" t="e">
        <f t="shared" si="247"/>
        <v>#N/A</v>
      </c>
      <c r="Y234" s="60" t="e">
        <f t="shared" si="247"/>
        <v>#N/A</v>
      </c>
      <c r="Z234" s="60" t="e">
        <f t="shared" si="247"/>
        <v>#N/A</v>
      </c>
      <c r="AB234" s="85" t="e">
        <f t="shared" si="241"/>
        <v>#DIV/0!</v>
      </c>
      <c r="AC234" s="86" t="e">
        <f t="shared" si="242"/>
        <v>#DIV/0!</v>
      </c>
      <c r="AD234" s="87" t="e">
        <f t="shared" si="243"/>
        <v>#DIV/0!</v>
      </c>
    </row>
    <row r="235" spans="1:30" ht="13.5" thickBot="1" x14ac:dyDescent="0.25">
      <c r="A235" s="248"/>
      <c r="B235" s="248"/>
      <c r="C235" s="30" t="s">
        <v>19</v>
      </c>
      <c r="D235" s="63" t="e">
        <f t="shared" ref="D235:Z235" si="248">IF(npv_year_zero&lt;=D$2,IF(ship_plot=ship1,(1-ship1_timeECA)*(D156)+ D174,IF(ship_plot=ship2,(1-ship2_timeECA)*(D159)+D177,IF(ship_plot=ship3,(1-ship3_timeECA)*(D162)+D180,IF(ship_plot=ship4,(1-ship4_timeECA)*(D165)+D183,IF(ship_plot=ship5,(1-ship5_timeECA)*(D168)+D186,IF(ship_plot=ship6,(1-ship6_timeECA)*(D171)+D189,"error")))))),NA())</f>
        <v>#N/A</v>
      </c>
      <c r="E235" s="63" t="e">
        <f t="shared" si="248"/>
        <v>#N/A</v>
      </c>
      <c r="F235" s="63" t="e">
        <f t="shared" si="248"/>
        <v>#N/A</v>
      </c>
      <c r="G235" s="63" t="e">
        <f t="shared" si="248"/>
        <v>#N/A</v>
      </c>
      <c r="H235" s="63" t="e">
        <f t="shared" si="248"/>
        <v>#N/A</v>
      </c>
      <c r="I235" s="63" t="e">
        <f t="shared" si="248"/>
        <v>#N/A</v>
      </c>
      <c r="J235" s="63" t="e">
        <f t="shared" si="248"/>
        <v>#N/A</v>
      </c>
      <c r="K235" s="63" t="e">
        <f t="shared" si="248"/>
        <v>#N/A</v>
      </c>
      <c r="L235" s="63" t="e">
        <f t="shared" si="248"/>
        <v>#N/A</v>
      </c>
      <c r="M235" s="63" t="e">
        <f t="shared" si="248"/>
        <v>#N/A</v>
      </c>
      <c r="N235" s="63" t="e">
        <f t="shared" si="248"/>
        <v>#N/A</v>
      </c>
      <c r="O235" s="63" t="e">
        <f t="shared" si="248"/>
        <v>#N/A</v>
      </c>
      <c r="P235" s="63" t="e">
        <f t="shared" si="248"/>
        <v>#N/A</v>
      </c>
      <c r="Q235" s="63" t="e">
        <f t="shared" si="248"/>
        <v>#N/A</v>
      </c>
      <c r="R235" s="63" t="e">
        <f t="shared" si="248"/>
        <v>#N/A</v>
      </c>
      <c r="S235" s="63" t="e">
        <f t="shared" si="248"/>
        <v>#N/A</v>
      </c>
      <c r="T235" s="63" t="e">
        <f t="shared" si="248"/>
        <v>#N/A</v>
      </c>
      <c r="U235" s="63" t="e">
        <f t="shared" si="248"/>
        <v>#N/A</v>
      </c>
      <c r="V235" s="63" t="e">
        <f t="shared" si="248"/>
        <v>#N/A</v>
      </c>
      <c r="W235" s="63" t="e">
        <f t="shared" si="248"/>
        <v>#N/A</v>
      </c>
      <c r="X235" s="63" t="e">
        <f t="shared" si="248"/>
        <v>#N/A</v>
      </c>
      <c r="Y235" s="63" t="e">
        <f t="shared" si="248"/>
        <v>#N/A</v>
      </c>
      <c r="Z235" s="63" t="e">
        <f t="shared" si="248"/>
        <v>#N/A</v>
      </c>
      <c r="AB235" s="94" t="e">
        <f t="shared" si="241"/>
        <v>#DIV/0!</v>
      </c>
      <c r="AC235" s="95" t="e">
        <f t="shared" si="242"/>
        <v>#DIV/0!</v>
      </c>
      <c r="AD235" s="96" t="e">
        <f t="shared" si="243"/>
        <v>#DIV/0!</v>
      </c>
    </row>
    <row r="236" spans="1:30" x14ac:dyDescent="0.2">
      <c r="A236" s="76" t="s">
        <v>54</v>
      </c>
      <c r="B236" s="76">
        <f>ship_plot</f>
        <v>0</v>
      </c>
      <c r="C236" s="77">
        <f>scenario_display</f>
        <v>0</v>
      </c>
      <c r="D236" s="78" t="e">
        <f t="shared" ref="D236:Z236" si="249">IF(scenario_display="Low",D230,IF(scenario_display="Medium",D231,D232))</f>
        <v>#N/A</v>
      </c>
      <c r="E236" s="78" t="e">
        <f t="shared" si="249"/>
        <v>#N/A</v>
      </c>
      <c r="F236" s="78" t="e">
        <f t="shared" si="249"/>
        <v>#N/A</v>
      </c>
      <c r="G236" s="78" t="e">
        <f t="shared" si="249"/>
        <v>#N/A</v>
      </c>
      <c r="H236" s="78" t="e">
        <f t="shared" si="249"/>
        <v>#N/A</v>
      </c>
      <c r="I236" s="78" t="e">
        <f t="shared" si="249"/>
        <v>#N/A</v>
      </c>
      <c r="J236" s="78" t="e">
        <f t="shared" si="249"/>
        <v>#N/A</v>
      </c>
      <c r="K236" s="78" t="e">
        <f t="shared" si="249"/>
        <v>#N/A</v>
      </c>
      <c r="L236" s="78" t="e">
        <f t="shared" si="249"/>
        <v>#N/A</v>
      </c>
      <c r="M236" s="78" t="e">
        <f t="shared" si="249"/>
        <v>#N/A</v>
      </c>
      <c r="N236" s="78" t="e">
        <f t="shared" si="249"/>
        <v>#N/A</v>
      </c>
      <c r="O236" s="78" t="e">
        <f t="shared" si="249"/>
        <v>#N/A</v>
      </c>
      <c r="P236" s="78" t="e">
        <f t="shared" si="249"/>
        <v>#N/A</v>
      </c>
      <c r="Q236" s="78" t="e">
        <f t="shared" si="249"/>
        <v>#N/A</v>
      </c>
      <c r="R236" s="78" t="e">
        <f t="shared" si="249"/>
        <v>#N/A</v>
      </c>
      <c r="S236" s="78" t="e">
        <f t="shared" si="249"/>
        <v>#N/A</v>
      </c>
      <c r="T236" s="78" t="e">
        <f t="shared" si="249"/>
        <v>#N/A</v>
      </c>
      <c r="U236" s="78" t="e">
        <f t="shared" si="249"/>
        <v>#N/A</v>
      </c>
      <c r="V236" s="78" t="e">
        <f t="shared" si="249"/>
        <v>#N/A</v>
      </c>
      <c r="W236" s="78" t="e">
        <f t="shared" si="249"/>
        <v>#N/A</v>
      </c>
      <c r="X236" s="78" t="e">
        <f t="shared" si="249"/>
        <v>#N/A</v>
      </c>
      <c r="Y236" s="78" t="e">
        <f t="shared" si="249"/>
        <v>#N/A</v>
      </c>
      <c r="Z236" s="78" t="e">
        <f t="shared" si="249"/>
        <v>#N/A</v>
      </c>
      <c r="AA236" s="97"/>
      <c r="AB236" s="98" t="e">
        <f>IF(scenario_display="Low",AB230,IF(scenario_display="Medium",AB231,AB232))</f>
        <v>#DIV/0!</v>
      </c>
      <c r="AC236" s="99" t="e">
        <f>IF(scenario_display="Low",AC230,IF(scenario_display="Medium",AC231,AC232))</f>
        <v>#DIV/0!</v>
      </c>
      <c r="AD236" s="99" t="e">
        <f>IF(scenario_display="Low",AD230,IF(scenario_display="Medium",AD231,AD232))</f>
        <v>#DIV/0!</v>
      </c>
    </row>
    <row r="237" spans="1:30" x14ac:dyDescent="0.2">
      <c r="A237" s="76" t="s">
        <v>55</v>
      </c>
      <c r="B237" s="76">
        <f>ship_plot</f>
        <v>0</v>
      </c>
      <c r="C237" s="77">
        <f>scenario_display</f>
        <v>0</v>
      </c>
      <c r="D237" s="78" t="e">
        <f t="shared" ref="D237:Z237" si="250">IF(scenario_display="Low",D233,IF(scenario_display="Medium",D234,D235))</f>
        <v>#N/A</v>
      </c>
      <c r="E237" s="78" t="e">
        <f t="shared" si="250"/>
        <v>#N/A</v>
      </c>
      <c r="F237" s="78" t="e">
        <f t="shared" si="250"/>
        <v>#N/A</v>
      </c>
      <c r="G237" s="78" t="e">
        <f t="shared" si="250"/>
        <v>#N/A</v>
      </c>
      <c r="H237" s="78" t="e">
        <f t="shared" si="250"/>
        <v>#N/A</v>
      </c>
      <c r="I237" s="78" t="e">
        <f t="shared" si="250"/>
        <v>#N/A</v>
      </c>
      <c r="J237" s="78" t="e">
        <f t="shared" si="250"/>
        <v>#N/A</v>
      </c>
      <c r="K237" s="78" t="e">
        <f t="shared" si="250"/>
        <v>#N/A</v>
      </c>
      <c r="L237" s="78" t="e">
        <f t="shared" si="250"/>
        <v>#N/A</v>
      </c>
      <c r="M237" s="78" t="e">
        <f t="shared" si="250"/>
        <v>#N/A</v>
      </c>
      <c r="N237" s="78" t="e">
        <f t="shared" si="250"/>
        <v>#N/A</v>
      </c>
      <c r="O237" s="78" t="e">
        <f t="shared" si="250"/>
        <v>#N/A</v>
      </c>
      <c r="P237" s="78" t="e">
        <f t="shared" si="250"/>
        <v>#N/A</v>
      </c>
      <c r="Q237" s="78" t="e">
        <f t="shared" si="250"/>
        <v>#N/A</v>
      </c>
      <c r="R237" s="78" t="e">
        <f t="shared" si="250"/>
        <v>#N/A</v>
      </c>
      <c r="S237" s="78" t="e">
        <f t="shared" si="250"/>
        <v>#N/A</v>
      </c>
      <c r="T237" s="78" t="e">
        <f t="shared" si="250"/>
        <v>#N/A</v>
      </c>
      <c r="U237" s="78" t="e">
        <f t="shared" si="250"/>
        <v>#N/A</v>
      </c>
      <c r="V237" s="78" t="e">
        <f t="shared" si="250"/>
        <v>#N/A</v>
      </c>
      <c r="W237" s="78" t="e">
        <f t="shared" si="250"/>
        <v>#N/A</v>
      </c>
      <c r="X237" s="78" t="e">
        <f t="shared" si="250"/>
        <v>#N/A</v>
      </c>
      <c r="Y237" s="78" t="e">
        <f t="shared" si="250"/>
        <v>#N/A</v>
      </c>
      <c r="Z237" s="78" t="e">
        <f t="shared" si="250"/>
        <v>#N/A</v>
      </c>
      <c r="AA237" s="97"/>
      <c r="AB237" s="106" t="e">
        <f>IF(scenario_display="Low",AB233,IF(scenario_display="Medium",AB234,AB235))</f>
        <v>#DIV/0!</v>
      </c>
      <c r="AC237" s="107" t="e">
        <f>IF(scenario_display="Low",AC233,IF(scenario_display="Medium",AC234,AC235))</f>
        <v>#DIV/0!</v>
      </c>
      <c r="AD237" s="107" t="e">
        <f>IF(scenario_display="Low",AD233,IF(scenario_display="Medium",AD234,AD235))</f>
        <v>#DIV/0!</v>
      </c>
    </row>
    <row r="238" spans="1:30" ht="12.75" customHeight="1" x14ac:dyDescent="0.2">
      <c r="A238" s="248" t="s">
        <v>42</v>
      </c>
      <c r="B238" s="248">
        <f>ship1</f>
        <v>0</v>
      </c>
      <c r="C238" s="30" t="s">
        <v>17</v>
      </c>
      <c r="D238" s="56">
        <f t="shared" ref="D238:Z238" si="251">D124-D208</f>
        <v>0</v>
      </c>
      <c r="E238" s="56">
        <f t="shared" si="251"/>
        <v>0</v>
      </c>
      <c r="F238" s="56">
        <f t="shared" si="251"/>
        <v>0</v>
      </c>
      <c r="G238" s="56">
        <f t="shared" si="251"/>
        <v>0</v>
      </c>
      <c r="H238" s="56">
        <f t="shared" si="251"/>
        <v>0</v>
      </c>
      <c r="I238" s="56">
        <f t="shared" si="251"/>
        <v>0</v>
      </c>
      <c r="J238" s="56">
        <f t="shared" si="251"/>
        <v>0</v>
      </c>
      <c r="K238" s="56">
        <f t="shared" si="251"/>
        <v>0</v>
      </c>
      <c r="L238" s="56">
        <f t="shared" si="251"/>
        <v>0</v>
      </c>
      <c r="M238" s="56">
        <f t="shared" si="251"/>
        <v>0</v>
      </c>
      <c r="N238" s="56">
        <f t="shared" si="251"/>
        <v>0</v>
      </c>
      <c r="O238" s="56">
        <f t="shared" si="251"/>
        <v>0</v>
      </c>
      <c r="P238" s="56">
        <f t="shared" si="251"/>
        <v>0</v>
      </c>
      <c r="Q238" s="56">
        <f t="shared" si="251"/>
        <v>0</v>
      </c>
      <c r="R238" s="56">
        <f t="shared" si="251"/>
        <v>0</v>
      </c>
      <c r="S238" s="56">
        <f t="shared" si="251"/>
        <v>0</v>
      </c>
      <c r="T238" s="56">
        <f t="shared" si="251"/>
        <v>0</v>
      </c>
      <c r="U238" s="56">
        <f t="shared" si="251"/>
        <v>0</v>
      </c>
      <c r="V238" s="56">
        <f t="shared" si="251"/>
        <v>0</v>
      </c>
      <c r="W238" s="56">
        <f t="shared" si="251"/>
        <v>0</v>
      </c>
      <c r="X238" s="56">
        <f t="shared" si="251"/>
        <v>0</v>
      </c>
      <c r="Y238" s="56">
        <f t="shared" si="251"/>
        <v>0</v>
      </c>
      <c r="Z238" s="56">
        <f t="shared" si="251"/>
        <v>0</v>
      </c>
      <c r="AB238" s="97"/>
      <c r="AC238" s="97"/>
      <c r="AD238" s="97"/>
    </row>
    <row r="239" spans="1:30" x14ac:dyDescent="0.2">
      <c r="A239" s="265"/>
      <c r="B239" s="248"/>
      <c r="C239" s="30" t="s">
        <v>18</v>
      </c>
      <c r="D239" s="60">
        <f t="shared" ref="D239:Z239" si="252">D125-D209</f>
        <v>0</v>
      </c>
      <c r="E239" s="60">
        <f t="shared" si="252"/>
        <v>0</v>
      </c>
      <c r="F239" s="60">
        <f t="shared" si="252"/>
        <v>0</v>
      </c>
      <c r="G239" s="60">
        <f t="shared" si="252"/>
        <v>0</v>
      </c>
      <c r="H239" s="60">
        <f t="shared" si="252"/>
        <v>0</v>
      </c>
      <c r="I239" s="60">
        <f t="shared" si="252"/>
        <v>0</v>
      </c>
      <c r="J239" s="60">
        <f t="shared" si="252"/>
        <v>0</v>
      </c>
      <c r="K239" s="60">
        <f t="shared" si="252"/>
        <v>0</v>
      </c>
      <c r="L239" s="60">
        <f t="shared" si="252"/>
        <v>0</v>
      </c>
      <c r="M239" s="60">
        <f t="shared" si="252"/>
        <v>0</v>
      </c>
      <c r="N239" s="60">
        <f t="shared" si="252"/>
        <v>0</v>
      </c>
      <c r="O239" s="60">
        <f t="shared" si="252"/>
        <v>0</v>
      </c>
      <c r="P239" s="60">
        <f t="shared" si="252"/>
        <v>0</v>
      </c>
      <c r="Q239" s="60">
        <f t="shared" si="252"/>
        <v>0</v>
      </c>
      <c r="R239" s="60">
        <f t="shared" si="252"/>
        <v>0</v>
      </c>
      <c r="S239" s="60">
        <f t="shared" si="252"/>
        <v>0</v>
      </c>
      <c r="T239" s="60">
        <f t="shared" si="252"/>
        <v>0</v>
      </c>
      <c r="U239" s="60">
        <f t="shared" si="252"/>
        <v>0</v>
      </c>
      <c r="V239" s="60">
        <f t="shared" si="252"/>
        <v>0</v>
      </c>
      <c r="W239" s="60">
        <f t="shared" si="252"/>
        <v>0</v>
      </c>
      <c r="X239" s="60">
        <f t="shared" si="252"/>
        <v>0</v>
      </c>
      <c r="Y239" s="60">
        <f t="shared" si="252"/>
        <v>0</v>
      </c>
      <c r="Z239" s="60">
        <f t="shared" si="252"/>
        <v>0</v>
      </c>
      <c r="AB239" s="97"/>
      <c r="AC239" s="97"/>
      <c r="AD239" s="97"/>
    </row>
    <row r="240" spans="1:30" x14ac:dyDescent="0.2">
      <c r="A240" s="265"/>
      <c r="B240" s="248"/>
      <c r="C240" s="30" t="s">
        <v>19</v>
      </c>
      <c r="D240" s="63">
        <f t="shared" ref="D240:Z240" si="253">D126-D210</f>
        <v>0</v>
      </c>
      <c r="E240" s="63">
        <f t="shared" si="253"/>
        <v>0</v>
      </c>
      <c r="F240" s="63">
        <f t="shared" si="253"/>
        <v>0</v>
      </c>
      <c r="G240" s="63">
        <f t="shared" si="253"/>
        <v>0</v>
      </c>
      <c r="H240" s="63">
        <f t="shared" si="253"/>
        <v>0</v>
      </c>
      <c r="I240" s="63">
        <f t="shared" si="253"/>
        <v>0</v>
      </c>
      <c r="J240" s="63">
        <f t="shared" si="253"/>
        <v>0</v>
      </c>
      <c r="K240" s="63">
        <f t="shared" si="253"/>
        <v>0</v>
      </c>
      <c r="L240" s="63">
        <f t="shared" si="253"/>
        <v>0</v>
      </c>
      <c r="M240" s="63">
        <f t="shared" si="253"/>
        <v>0</v>
      </c>
      <c r="N240" s="63">
        <f t="shared" si="253"/>
        <v>0</v>
      </c>
      <c r="O240" s="63">
        <f t="shared" si="253"/>
        <v>0</v>
      </c>
      <c r="P240" s="63">
        <f t="shared" si="253"/>
        <v>0</v>
      </c>
      <c r="Q240" s="63">
        <f t="shared" si="253"/>
        <v>0</v>
      </c>
      <c r="R240" s="63">
        <f t="shared" si="253"/>
        <v>0</v>
      </c>
      <c r="S240" s="63">
        <f t="shared" si="253"/>
        <v>0</v>
      </c>
      <c r="T240" s="63">
        <f t="shared" si="253"/>
        <v>0</v>
      </c>
      <c r="U240" s="63">
        <f t="shared" si="253"/>
        <v>0</v>
      </c>
      <c r="V240" s="63">
        <f t="shared" si="253"/>
        <v>0</v>
      </c>
      <c r="W240" s="63">
        <f t="shared" si="253"/>
        <v>0</v>
      </c>
      <c r="X240" s="63">
        <f t="shared" si="253"/>
        <v>0</v>
      </c>
      <c r="Y240" s="63">
        <f t="shared" si="253"/>
        <v>0</v>
      </c>
      <c r="Z240" s="63">
        <f t="shared" si="253"/>
        <v>0</v>
      </c>
      <c r="AB240" s="97"/>
      <c r="AC240" s="97"/>
      <c r="AD240" s="97"/>
    </row>
    <row r="241" spans="1:30" x14ac:dyDescent="0.2">
      <c r="A241" s="265"/>
      <c r="B241" s="248">
        <f>ship2</f>
        <v>0</v>
      </c>
      <c r="C241" s="30" t="s">
        <v>17</v>
      </c>
      <c r="D241" s="56">
        <f t="shared" ref="D241:D255" si="254">D127-D211</f>
        <v>0</v>
      </c>
      <c r="E241" s="56">
        <f t="shared" ref="E241:Z250" si="255">E127-E211</f>
        <v>0</v>
      </c>
      <c r="F241" s="56">
        <f t="shared" si="255"/>
        <v>0</v>
      </c>
      <c r="G241" s="56">
        <f t="shared" si="255"/>
        <v>0</v>
      </c>
      <c r="H241" s="56">
        <f t="shared" si="255"/>
        <v>0</v>
      </c>
      <c r="I241" s="56">
        <f t="shared" si="255"/>
        <v>0</v>
      </c>
      <c r="J241" s="56">
        <f t="shared" si="255"/>
        <v>0</v>
      </c>
      <c r="K241" s="56">
        <f t="shared" si="255"/>
        <v>0</v>
      </c>
      <c r="L241" s="56">
        <f t="shared" si="255"/>
        <v>0</v>
      </c>
      <c r="M241" s="56">
        <f t="shared" si="255"/>
        <v>0</v>
      </c>
      <c r="N241" s="56">
        <f t="shared" si="255"/>
        <v>0</v>
      </c>
      <c r="O241" s="56">
        <f t="shared" si="255"/>
        <v>0</v>
      </c>
      <c r="P241" s="56">
        <f t="shared" si="255"/>
        <v>0</v>
      </c>
      <c r="Q241" s="56">
        <f t="shared" si="255"/>
        <v>0</v>
      </c>
      <c r="R241" s="56">
        <f t="shared" si="255"/>
        <v>0</v>
      </c>
      <c r="S241" s="56">
        <f t="shared" si="255"/>
        <v>0</v>
      </c>
      <c r="T241" s="56">
        <f t="shared" si="255"/>
        <v>0</v>
      </c>
      <c r="U241" s="56">
        <f t="shared" si="255"/>
        <v>0</v>
      </c>
      <c r="V241" s="56">
        <f t="shared" si="255"/>
        <v>0</v>
      </c>
      <c r="W241" s="56">
        <f t="shared" si="255"/>
        <v>0</v>
      </c>
      <c r="X241" s="56">
        <f t="shared" si="255"/>
        <v>0</v>
      </c>
      <c r="Y241" s="56">
        <f t="shared" si="255"/>
        <v>0</v>
      </c>
      <c r="Z241" s="56">
        <f t="shared" si="255"/>
        <v>0</v>
      </c>
      <c r="AB241" s="97"/>
      <c r="AC241" s="97"/>
      <c r="AD241" s="97"/>
    </row>
    <row r="242" spans="1:30" x14ac:dyDescent="0.2">
      <c r="A242" s="265"/>
      <c r="B242" s="248"/>
      <c r="C242" s="30" t="s">
        <v>18</v>
      </c>
      <c r="D242" s="60">
        <f t="shared" si="254"/>
        <v>0</v>
      </c>
      <c r="E242" s="60">
        <f t="shared" si="255"/>
        <v>0</v>
      </c>
      <c r="F242" s="60">
        <f t="shared" si="255"/>
        <v>0</v>
      </c>
      <c r="G242" s="60">
        <f t="shared" si="255"/>
        <v>0</v>
      </c>
      <c r="H242" s="60">
        <f t="shared" si="255"/>
        <v>0</v>
      </c>
      <c r="I242" s="60">
        <f t="shared" si="255"/>
        <v>0</v>
      </c>
      <c r="J242" s="60">
        <f t="shared" si="255"/>
        <v>0</v>
      </c>
      <c r="K242" s="60">
        <f t="shared" si="255"/>
        <v>0</v>
      </c>
      <c r="L242" s="60">
        <f t="shared" si="255"/>
        <v>0</v>
      </c>
      <c r="M242" s="60">
        <f t="shared" si="255"/>
        <v>0</v>
      </c>
      <c r="N242" s="60">
        <f t="shared" si="255"/>
        <v>0</v>
      </c>
      <c r="O242" s="60">
        <f t="shared" si="255"/>
        <v>0</v>
      </c>
      <c r="P242" s="60">
        <f t="shared" si="255"/>
        <v>0</v>
      </c>
      <c r="Q242" s="60">
        <f t="shared" si="255"/>
        <v>0</v>
      </c>
      <c r="R242" s="60">
        <f t="shared" si="255"/>
        <v>0</v>
      </c>
      <c r="S242" s="60">
        <f t="shared" si="255"/>
        <v>0</v>
      </c>
      <c r="T242" s="60">
        <f t="shared" si="255"/>
        <v>0</v>
      </c>
      <c r="U242" s="60">
        <f t="shared" si="255"/>
        <v>0</v>
      </c>
      <c r="V242" s="60">
        <f t="shared" si="255"/>
        <v>0</v>
      </c>
      <c r="W242" s="60">
        <f t="shared" si="255"/>
        <v>0</v>
      </c>
      <c r="X242" s="60">
        <f t="shared" si="255"/>
        <v>0</v>
      </c>
      <c r="Y242" s="60">
        <f t="shared" si="255"/>
        <v>0</v>
      </c>
      <c r="Z242" s="60">
        <f t="shared" si="255"/>
        <v>0</v>
      </c>
      <c r="AB242" s="97"/>
      <c r="AC242" s="97"/>
      <c r="AD242" s="97"/>
    </row>
    <row r="243" spans="1:30" x14ac:dyDescent="0.2">
      <c r="A243" s="265"/>
      <c r="B243" s="248"/>
      <c r="C243" s="30" t="s">
        <v>19</v>
      </c>
      <c r="D243" s="63">
        <f t="shared" si="254"/>
        <v>0</v>
      </c>
      <c r="E243" s="63">
        <f t="shared" si="255"/>
        <v>0</v>
      </c>
      <c r="F243" s="63">
        <f t="shared" si="255"/>
        <v>0</v>
      </c>
      <c r="G243" s="63">
        <f t="shared" si="255"/>
        <v>0</v>
      </c>
      <c r="H243" s="63">
        <f t="shared" si="255"/>
        <v>0</v>
      </c>
      <c r="I243" s="63">
        <f t="shared" si="255"/>
        <v>0</v>
      </c>
      <c r="J243" s="63">
        <f t="shared" si="255"/>
        <v>0</v>
      </c>
      <c r="K243" s="63">
        <f t="shared" si="255"/>
        <v>0</v>
      </c>
      <c r="L243" s="63">
        <f t="shared" si="255"/>
        <v>0</v>
      </c>
      <c r="M243" s="63">
        <f t="shared" si="255"/>
        <v>0</v>
      </c>
      <c r="N243" s="63">
        <f t="shared" si="255"/>
        <v>0</v>
      </c>
      <c r="O243" s="63">
        <f t="shared" si="255"/>
        <v>0</v>
      </c>
      <c r="P243" s="63">
        <f t="shared" si="255"/>
        <v>0</v>
      </c>
      <c r="Q243" s="63">
        <f t="shared" si="255"/>
        <v>0</v>
      </c>
      <c r="R243" s="63">
        <f t="shared" si="255"/>
        <v>0</v>
      </c>
      <c r="S243" s="63">
        <f t="shared" si="255"/>
        <v>0</v>
      </c>
      <c r="T243" s="63">
        <f t="shared" si="255"/>
        <v>0</v>
      </c>
      <c r="U243" s="63">
        <f t="shared" si="255"/>
        <v>0</v>
      </c>
      <c r="V243" s="63">
        <f t="shared" si="255"/>
        <v>0</v>
      </c>
      <c r="W243" s="63">
        <f t="shared" si="255"/>
        <v>0</v>
      </c>
      <c r="X243" s="63">
        <f t="shared" si="255"/>
        <v>0</v>
      </c>
      <c r="Y243" s="63">
        <f t="shared" si="255"/>
        <v>0</v>
      </c>
      <c r="Z243" s="63">
        <f t="shared" si="255"/>
        <v>0</v>
      </c>
      <c r="AB243" s="97"/>
      <c r="AC243" s="97"/>
      <c r="AD243" s="97"/>
    </row>
    <row r="244" spans="1:30" x14ac:dyDescent="0.2">
      <c r="A244" s="265"/>
      <c r="B244" s="248">
        <f>ship3</f>
        <v>0</v>
      </c>
      <c r="C244" s="30" t="s">
        <v>17</v>
      </c>
      <c r="D244" s="56">
        <f t="shared" si="254"/>
        <v>0</v>
      </c>
      <c r="E244" s="56">
        <f t="shared" si="255"/>
        <v>0</v>
      </c>
      <c r="F244" s="56">
        <f t="shared" si="255"/>
        <v>0</v>
      </c>
      <c r="G244" s="56">
        <f t="shared" si="255"/>
        <v>0</v>
      </c>
      <c r="H244" s="56">
        <f t="shared" si="255"/>
        <v>0</v>
      </c>
      <c r="I244" s="56">
        <f t="shared" si="255"/>
        <v>0</v>
      </c>
      <c r="J244" s="56">
        <f t="shared" si="255"/>
        <v>0</v>
      </c>
      <c r="K244" s="56">
        <f t="shared" si="255"/>
        <v>0</v>
      </c>
      <c r="L244" s="56">
        <f t="shared" si="255"/>
        <v>0</v>
      </c>
      <c r="M244" s="56">
        <f t="shared" si="255"/>
        <v>0</v>
      </c>
      <c r="N244" s="56">
        <f t="shared" si="255"/>
        <v>0</v>
      </c>
      <c r="O244" s="56">
        <f t="shared" si="255"/>
        <v>0</v>
      </c>
      <c r="P244" s="56">
        <f t="shared" si="255"/>
        <v>0</v>
      </c>
      <c r="Q244" s="56">
        <f t="shared" si="255"/>
        <v>0</v>
      </c>
      <c r="R244" s="56">
        <f t="shared" si="255"/>
        <v>0</v>
      </c>
      <c r="S244" s="56">
        <f t="shared" si="255"/>
        <v>0</v>
      </c>
      <c r="T244" s="56">
        <f t="shared" si="255"/>
        <v>0</v>
      </c>
      <c r="U244" s="56">
        <f t="shared" si="255"/>
        <v>0</v>
      </c>
      <c r="V244" s="56">
        <f t="shared" si="255"/>
        <v>0</v>
      </c>
      <c r="W244" s="56">
        <f t="shared" si="255"/>
        <v>0</v>
      </c>
      <c r="X244" s="56">
        <f t="shared" si="255"/>
        <v>0</v>
      </c>
      <c r="Y244" s="56">
        <f t="shared" si="255"/>
        <v>0</v>
      </c>
      <c r="Z244" s="56">
        <f t="shared" si="255"/>
        <v>0</v>
      </c>
      <c r="AB244" s="97"/>
      <c r="AC244" s="97"/>
      <c r="AD244" s="97"/>
    </row>
    <row r="245" spans="1:30" x14ac:dyDescent="0.2">
      <c r="A245" s="265"/>
      <c r="B245" s="248"/>
      <c r="C245" s="30" t="s">
        <v>18</v>
      </c>
      <c r="D245" s="60">
        <f t="shared" si="254"/>
        <v>0</v>
      </c>
      <c r="E245" s="60">
        <f t="shared" si="255"/>
        <v>0</v>
      </c>
      <c r="F245" s="60">
        <f t="shared" si="255"/>
        <v>0</v>
      </c>
      <c r="G245" s="60">
        <f t="shared" si="255"/>
        <v>0</v>
      </c>
      <c r="H245" s="60">
        <f t="shared" si="255"/>
        <v>0</v>
      </c>
      <c r="I245" s="60">
        <f t="shared" si="255"/>
        <v>0</v>
      </c>
      <c r="J245" s="60">
        <f t="shared" si="255"/>
        <v>0</v>
      </c>
      <c r="K245" s="60">
        <f t="shared" si="255"/>
        <v>0</v>
      </c>
      <c r="L245" s="60">
        <f t="shared" si="255"/>
        <v>0</v>
      </c>
      <c r="M245" s="60">
        <f t="shared" si="255"/>
        <v>0</v>
      </c>
      <c r="N245" s="60">
        <f t="shared" si="255"/>
        <v>0</v>
      </c>
      <c r="O245" s="60">
        <f t="shared" si="255"/>
        <v>0</v>
      </c>
      <c r="P245" s="60">
        <f t="shared" si="255"/>
        <v>0</v>
      </c>
      <c r="Q245" s="60">
        <f t="shared" si="255"/>
        <v>0</v>
      </c>
      <c r="R245" s="60">
        <f t="shared" si="255"/>
        <v>0</v>
      </c>
      <c r="S245" s="60">
        <f t="shared" si="255"/>
        <v>0</v>
      </c>
      <c r="T245" s="60">
        <f t="shared" si="255"/>
        <v>0</v>
      </c>
      <c r="U245" s="60">
        <f t="shared" si="255"/>
        <v>0</v>
      </c>
      <c r="V245" s="60">
        <f t="shared" si="255"/>
        <v>0</v>
      </c>
      <c r="W245" s="60">
        <f t="shared" si="255"/>
        <v>0</v>
      </c>
      <c r="X245" s="60">
        <f t="shared" si="255"/>
        <v>0</v>
      </c>
      <c r="Y245" s="60">
        <f t="shared" si="255"/>
        <v>0</v>
      </c>
      <c r="Z245" s="60">
        <f t="shared" si="255"/>
        <v>0</v>
      </c>
      <c r="AB245" s="97"/>
      <c r="AC245" s="97"/>
      <c r="AD245" s="97"/>
    </row>
    <row r="246" spans="1:30" x14ac:dyDescent="0.2">
      <c r="A246" s="265"/>
      <c r="B246" s="248"/>
      <c r="C246" s="30" t="s">
        <v>19</v>
      </c>
      <c r="D246" s="63">
        <f t="shared" si="254"/>
        <v>0</v>
      </c>
      <c r="E246" s="63">
        <f t="shared" si="255"/>
        <v>0</v>
      </c>
      <c r="F246" s="63">
        <f t="shared" si="255"/>
        <v>0</v>
      </c>
      <c r="G246" s="63">
        <f t="shared" si="255"/>
        <v>0</v>
      </c>
      <c r="H246" s="63">
        <f t="shared" si="255"/>
        <v>0</v>
      </c>
      <c r="I246" s="63">
        <f t="shared" si="255"/>
        <v>0</v>
      </c>
      <c r="J246" s="63">
        <f t="shared" si="255"/>
        <v>0</v>
      </c>
      <c r="K246" s="63">
        <f t="shared" si="255"/>
        <v>0</v>
      </c>
      <c r="L246" s="63">
        <f t="shared" si="255"/>
        <v>0</v>
      </c>
      <c r="M246" s="63">
        <f t="shared" si="255"/>
        <v>0</v>
      </c>
      <c r="N246" s="63">
        <f t="shared" si="255"/>
        <v>0</v>
      </c>
      <c r="O246" s="63">
        <f t="shared" si="255"/>
        <v>0</v>
      </c>
      <c r="P246" s="63">
        <f t="shared" si="255"/>
        <v>0</v>
      </c>
      <c r="Q246" s="63">
        <f t="shared" si="255"/>
        <v>0</v>
      </c>
      <c r="R246" s="63">
        <f t="shared" si="255"/>
        <v>0</v>
      </c>
      <c r="S246" s="63">
        <f t="shared" si="255"/>
        <v>0</v>
      </c>
      <c r="T246" s="63">
        <f t="shared" si="255"/>
        <v>0</v>
      </c>
      <c r="U246" s="63">
        <f t="shared" si="255"/>
        <v>0</v>
      </c>
      <c r="V246" s="63">
        <f t="shared" si="255"/>
        <v>0</v>
      </c>
      <c r="W246" s="63">
        <f t="shared" si="255"/>
        <v>0</v>
      </c>
      <c r="X246" s="63">
        <f t="shared" si="255"/>
        <v>0</v>
      </c>
      <c r="Y246" s="63">
        <f t="shared" si="255"/>
        <v>0</v>
      </c>
      <c r="Z246" s="63">
        <f t="shared" si="255"/>
        <v>0</v>
      </c>
      <c r="AB246" s="97"/>
      <c r="AC246" s="97"/>
      <c r="AD246" s="97"/>
    </row>
    <row r="247" spans="1:30" x14ac:dyDescent="0.2">
      <c r="A247" s="265"/>
      <c r="B247" s="248">
        <f>ship4</f>
        <v>0</v>
      </c>
      <c r="C247" s="30" t="s">
        <v>17</v>
      </c>
      <c r="D247" s="56">
        <f t="shared" si="254"/>
        <v>0</v>
      </c>
      <c r="E247" s="56">
        <f t="shared" si="255"/>
        <v>0</v>
      </c>
      <c r="F247" s="56">
        <f t="shared" si="255"/>
        <v>0</v>
      </c>
      <c r="G247" s="56">
        <f t="shared" si="255"/>
        <v>0</v>
      </c>
      <c r="H247" s="56">
        <f t="shared" si="255"/>
        <v>0</v>
      </c>
      <c r="I247" s="56">
        <f t="shared" si="255"/>
        <v>0</v>
      </c>
      <c r="J247" s="56">
        <f t="shared" si="255"/>
        <v>0</v>
      </c>
      <c r="K247" s="56">
        <f t="shared" si="255"/>
        <v>0</v>
      </c>
      <c r="L247" s="56">
        <f t="shared" si="255"/>
        <v>0</v>
      </c>
      <c r="M247" s="56">
        <f t="shared" si="255"/>
        <v>0</v>
      </c>
      <c r="N247" s="56">
        <f t="shared" si="255"/>
        <v>0</v>
      </c>
      <c r="O247" s="56">
        <f t="shared" si="255"/>
        <v>0</v>
      </c>
      <c r="P247" s="56">
        <f t="shared" si="255"/>
        <v>0</v>
      </c>
      <c r="Q247" s="56">
        <f t="shared" si="255"/>
        <v>0</v>
      </c>
      <c r="R247" s="56">
        <f t="shared" si="255"/>
        <v>0</v>
      </c>
      <c r="S247" s="56">
        <f t="shared" si="255"/>
        <v>0</v>
      </c>
      <c r="T247" s="56">
        <f t="shared" si="255"/>
        <v>0</v>
      </c>
      <c r="U247" s="56">
        <f t="shared" si="255"/>
        <v>0</v>
      </c>
      <c r="V247" s="56">
        <f t="shared" si="255"/>
        <v>0</v>
      </c>
      <c r="W247" s="56">
        <f t="shared" si="255"/>
        <v>0</v>
      </c>
      <c r="X247" s="56">
        <f t="shared" si="255"/>
        <v>0</v>
      </c>
      <c r="Y247" s="56">
        <f t="shared" si="255"/>
        <v>0</v>
      </c>
      <c r="Z247" s="56">
        <f t="shared" si="255"/>
        <v>0</v>
      </c>
      <c r="AB247" s="97"/>
      <c r="AC247" s="97"/>
      <c r="AD247" s="97"/>
    </row>
    <row r="248" spans="1:30" x14ac:dyDescent="0.2">
      <c r="A248" s="265"/>
      <c r="B248" s="248"/>
      <c r="C248" s="30" t="s">
        <v>18</v>
      </c>
      <c r="D248" s="60">
        <f t="shared" si="254"/>
        <v>0</v>
      </c>
      <c r="E248" s="60">
        <f t="shared" si="255"/>
        <v>0</v>
      </c>
      <c r="F248" s="60">
        <f t="shared" si="255"/>
        <v>0</v>
      </c>
      <c r="G248" s="60">
        <f t="shared" si="255"/>
        <v>0</v>
      </c>
      <c r="H248" s="60">
        <f t="shared" si="255"/>
        <v>0</v>
      </c>
      <c r="I248" s="60">
        <f t="shared" si="255"/>
        <v>0</v>
      </c>
      <c r="J248" s="60">
        <f t="shared" si="255"/>
        <v>0</v>
      </c>
      <c r="K248" s="60">
        <f t="shared" si="255"/>
        <v>0</v>
      </c>
      <c r="L248" s="60">
        <f t="shared" si="255"/>
        <v>0</v>
      </c>
      <c r="M248" s="60">
        <f t="shared" si="255"/>
        <v>0</v>
      </c>
      <c r="N248" s="60">
        <f t="shared" si="255"/>
        <v>0</v>
      </c>
      <c r="O248" s="60">
        <f t="shared" si="255"/>
        <v>0</v>
      </c>
      <c r="P248" s="60">
        <f t="shared" si="255"/>
        <v>0</v>
      </c>
      <c r="Q248" s="60">
        <f t="shared" si="255"/>
        <v>0</v>
      </c>
      <c r="R248" s="60">
        <f t="shared" si="255"/>
        <v>0</v>
      </c>
      <c r="S248" s="60">
        <f t="shared" si="255"/>
        <v>0</v>
      </c>
      <c r="T248" s="60">
        <f t="shared" si="255"/>
        <v>0</v>
      </c>
      <c r="U248" s="60">
        <f t="shared" si="255"/>
        <v>0</v>
      </c>
      <c r="V248" s="60">
        <f t="shared" si="255"/>
        <v>0</v>
      </c>
      <c r="W248" s="60">
        <f t="shared" si="255"/>
        <v>0</v>
      </c>
      <c r="X248" s="60">
        <f t="shared" si="255"/>
        <v>0</v>
      </c>
      <c r="Y248" s="60">
        <f t="shared" si="255"/>
        <v>0</v>
      </c>
      <c r="Z248" s="60">
        <f t="shared" si="255"/>
        <v>0</v>
      </c>
      <c r="AB248" s="97"/>
      <c r="AC248" s="97"/>
      <c r="AD248" s="97"/>
    </row>
    <row r="249" spans="1:30" x14ac:dyDescent="0.2">
      <c r="A249" s="265"/>
      <c r="B249" s="248"/>
      <c r="C249" s="30" t="s">
        <v>19</v>
      </c>
      <c r="D249" s="63">
        <f t="shared" si="254"/>
        <v>0</v>
      </c>
      <c r="E249" s="63">
        <f t="shared" si="255"/>
        <v>0</v>
      </c>
      <c r="F249" s="63">
        <f t="shared" si="255"/>
        <v>0</v>
      </c>
      <c r="G249" s="63">
        <f t="shared" si="255"/>
        <v>0</v>
      </c>
      <c r="H249" s="63">
        <f t="shared" si="255"/>
        <v>0</v>
      </c>
      <c r="I249" s="63">
        <f t="shared" si="255"/>
        <v>0</v>
      </c>
      <c r="J249" s="63">
        <f t="shared" si="255"/>
        <v>0</v>
      </c>
      <c r="K249" s="63">
        <f t="shared" si="255"/>
        <v>0</v>
      </c>
      <c r="L249" s="63">
        <f t="shared" si="255"/>
        <v>0</v>
      </c>
      <c r="M249" s="63">
        <f t="shared" si="255"/>
        <v>0</v>
      </c>
      <c r="N249" s="63">
        <f t="shared" si="255"/>
        <v>0</v>
      </c>
      <c r="O249" s="63">
        <f t="shared" si="255"/>
        <v>0</v>
      </c>
      <c r="P249" s="63">
        <f t="shared" si="255"/>
        <v>0</v>
      </c>
      <c r="Q249" s="63">
        <f t="shared" si="255"/>
        <v>0</v>
      </c>
      <c r="R249" s="63">
        <f t="shared" si="255"/>
        <v>0</v>
      </c>
      <c r="S249" s="63">
        <f t="shared" si="255"/>
        <v>0</v>
      </c>
      <c r="T249" s="63">
        <f t="shared" si="255"/>
        <v>0</v>
      </c>
      <c r="U249" s="63">
        <f t="shared" si="255"/>
        <v>0</v>
      </c>
      <c r="V249" s="63">
        <f t="shared" si="255"/>
        <v>0</v>
      </c>
      <c r="W249" s="63">
        <f t="shared" si="255"/>
        <v>0</v>
      </c>
      <c r="X249" s="63">
        <f t="shared" si="255"/>
        <v>0</v>
      </c>
      <c r="Y249" s="63">
        <f t="shared" si="255"/>
        <v>0</v>
      </c>
      <c r="Z249" s="63">
        <f t="shared" si="255"/>
        <v>0</v>
      </c>
      <c r="AB249" s="97"/>
      <c r="AC249" s="97"/>
      <c r="AD249" s="97"/>
    </row>
    <row r="250" spans="1:30" x14ac:dyDescent="0.2">
      <c r="A250" s="265"/>
      <c r="B250" s="248">
        <f>ship5</f>
        <v>0</v>
      </c>
      <c r="C250" s="30" t="s">
        <v>17</v>
      </c>
      <c r="D250" s="56">
        <f t="shared" si="254"/>
        <v>0</v>
      </c>
      <c r="E250" s="56">
        <f t="shared" si="255"/>
        <v>0</v>
      </c>
      <c r="F250" s="56">
        <f t="shared" si="255"/>
        <v>0</v>
      </c>
      <c r="G250" s="56">
        <f t="shared" si="255"/>
        <v>0</v>
      </c>
      <c r="H250" s="56">
        <f t="shared" si="255"/>
        <v>0</v>
      </c>
      <c r="I250" s="56">
        <f t="shared" si="255"/>
        <v>0</v>
      </c>
      <c r="J250" s="56">
        <f t="shared" si="255"/>
        <v>0</v>
      </c>
      <c r="K250" s="56">
        <f t="shared" ref="E250:Z255" si="256">K136-K220</f>
        <v>0</v>
      </c>
      <c r="L250" s="56">
        <f t="shared" si="256"/>
        <v>0</v>
      </c>
      <c r="M250" s="56">
        <f t="shared" si="256"/>
        <v>0</v>
      </c>
      <c r="N250" s="56">
        <f t="shared" si="256"/>
        <v>0</v>
      </c>
      <c r="O250" s="56">
        <f t="shared" si="256"/>
        <v>0</v>
      </c>
      <c r="P250" s="56">
        <f t="shared" si="256"/>
        <v>0</v>
      </c>
      <c r="Q250" s="56">
        <f t="shared" si="256"/>
        <v>0</v>
      </c>
      <c r="R250" s="56">
        <f t="shared" si="256"/>
        <v>0</v>
      </c>
      <c r="S250" s="56">
        <f t="shared" si="256"/>
        <v>0</v>
      </c>
      <c r="T250" s="56">
        <f t="shared" si="256"/>
        <v>0</v>
      </c>
      <c r="U250" s="56">
        <f t="shared" si="256"/>
        <v>0</v>
      </c>
      <c r="V250" s="56">
        <f t="shared" si="256"/>
        <v>0</v>
      </c>
      <c r="W250" s="56">
        <f t="shared" si="256"/>
        <v>0</v>
      </c>
      <c r="X250" s="56">
        <f t="shared" si="256"/>
        <v>0</v>
      </c>
      <c r="Y250" s="56">
        <f t="shared" si="256"/>
        <v>0</v>
      </c>
      <c r="Z250" s="56">
        <f t="shared" si="256"/>
        <v>0</v>
      </c>
      <c r="AB250" s="97"/>
      <c r="AC250" s="97"/>
      <c r="AD250" s="97"/>
    </row>
    <row r="251" spans="1:30" x14ac:dyDescent="0.2">
      <c r="A251" s="265"/>
      <c r="B251" s="248"/>
      <c r="C251" s="30" t="s">
        <v>18</v>
      </c>
      <c r="D251" s="60">
        <f t="shared" si="254"/>
        <v>0</v>
      </c>
      <c r="E251" s="60">
        <f t="shared" si="256"/>
        <v>0</v>
      </c>
      <c r="F251" s="60">
        <f t="shared" si="256"/>
        <v>0</v>
      </c>
      <c r="G251" s="60">
        <f t="shared" si="256"/>
        <v>0</v>
      </c>
      <c r="H251" s="60">
        <f t="shared" si="256"/>
        <v>0</v>
      </c>
      <c r="I251" s="60">
        <f t="shared" si="256"/>
        <v>0</v>
      </c>
      <c r="J251" s="60">
        <f t="shared" si="256"/>
        <v>0</v>
      </c>
      <c r="K251" s="60">
        <f t="shared" si="256"/>
        <v>0</v>
      </c>
      <c r="L251" s="60">
        <f t="shared" si="256"/>
        <v>0</v>
      </c>
      <c r="M251" s="60">
        <f t="shared" si="256"/>
        <v>0</v>
      </c>
      <c r="N251" s="60">
        <f t="shared" si="256"/>
        <v>0</v>
      </c>
      <c r="O251" s="60">
        <f t="shared" si="256"/>
        <v>0</v>
      </c>
      <c r="P251" s="60">
        <f t="shared" si="256"/>
        <v>0</v>
      </c>
      <c r="Q251" s="60">
        <f t="shared" si="256"/>
        <v>0</v>
      </c>
      <c r="R251" s="60">
        <f t="shared" si="256"/>
        <v>0</v>
      </c>
      <c r="S251" s="60">
        <f t="shared" si="256"/>
        <v>0</v>
      </c>
      <c r="T251" s="60">
        <f t="shared" si="256"/>
        <v>0</v>
      </c>
      <c r="U251" s="60">
        <f t="shared" si="256"/>
        <v>0</v>
      </c>
      <c r="V251" s="60">
        <f t="shared" si="256"/>
        <v>0</v>
      </c>
      <c r="W251" s="60">
        <f t="shared" si="256"/>
        <v>0</v>
      </c>
      <c r="X251" s="60">
        <f t="shared" si="256"/>
        <v>0</v>
      </c>
      <c r="Y251" s="60">
        <f t="shared" si="256"/>
        <v>0</v>
      </c>
      <c r="Z251" s="60">
        <f t="shared" si="256"/>
        <v>0</v>
      </c>
      <c r="AB251" s="97"/>
      <c r="AC251" s="97"/>
      <c r="AD251" s="97"/>
    </row>
    <row r="252" spans="1:30" x14ac:dyDescent="0.2">
      <c r="A252" s="265"/>
      <c r="B252" s="248"/>
      <c r="C252" s="30" t="s">
        <v>19</v>
      </c>
      <c r="D252" s="63">
        <f t="shared" si="254"/>
        <v>0</v>
      </c>
      <c r="E252" s="63">
        <f t="shared" si="256"/>
        <v>0</v>
      </c>
      <c r="F252" s="63">
        <f t="shared" si="256"/>
        <v>0</v>
      </c>
      <c r="G252" s="63">
        <f t="shared" si="256"/>
        <v>0</v>
      </c>
      <c r="H252" s="63">
        <f t="shared" si="256"/>
        <v>0</v>
      </c>
      <c r="I252" s="63">
        <f t="shared" si="256"/>
        <v>0</v>
      </c>
      <c r="J252" s="63">
        <f t="shared" si="256"/>
        <v>0</v>
      </c>
      <c r="K252" s="63">
        <f t="shared" si="256"/>
        <v>0</v>
      </c>
      <c r="L252" s="63">
        <f t="shared" si="256"/>
        <v>0</v>
      </c>
      <c r="M252" s="63">
        <f t="shared" si="256"/>
        <v>0</v>
      </c>
      <c r="N252" s="63">
        <f t="shared" si="256"/>
        <v>0</v>
      </c>
      <c r="O252" s="63">
        <f t="shared" si="256"/>
        <v>0</v>
      </c>
      <c r="P252" s="63">
        <f t="shared" si="256"/>
        <v>0</v>
      </c>
      <c r="Q252" s="63">
        <f t="shared" si="256"/>
        <v>0</v>
      </c>
      <c r="R252" s="63">
        <f t="shared" si="256"/>
        <v>0</v>
      </c>
      <c r="S252" s="63">
        <f t="shared" si="256"/>
        <v>0</v>
      </c>
      <c r="T252" s="63">
        <f t="shared" si="256"/>
        <v>0</v>
      </c>
      <c r="U252" s="63">
        <f t="shared" si="256"/>
        <v>0</v>
      </c>
      <c r="V252" s="63">
        <f t="shared" si="256"/>
        <v>0</v>
      </c>
      <c r="W252" s="63">
        <f t="shared" si="256"/>
        <v>0</v>
      </c>
      <c r="X252" s="63">
        <f t="shared" si="256"/>
        <v>0</v>
      </c>
      <c r="Y252" s="63">
        <f t="shared" si="256"/>
        <v>0</v>
      </c>
      <c r="Z252" s="63">
        <f t="shared" si="256"/>
        <v>0</v>
      </c>
      <c r="AB252" s="97"/>
      <c r="AC252" s="97"/>
      <c r="AD252" s="97"/>
    </row>
    <row r="253" spans="1:30" x14ac:dyDescent="0.2">
      <c r="A253" s="265"/>
      <c r="B253" s="248">
        <f>ship6</f>
        <v>0</v>
      </c>
      <c r="C253" s="30" t="s">
        <v>17</v>
      </c>
      <c r="D253" s="56">
        <f t="shared" si="254"/>
        <v>0</v>
      </c>
      <c r="E253" s="56">
        <f t="shared" si="256"/>
        <v>0</v>
      </c>
      <c r="F253" s="56">
        <f t="shared" si="256"/>
        <v>0</v>
      </c>
      <c r="G253" s="56">
        <f t="shared" si="256"/>
        <v>0</v>
      </c>
      <c r="H253" s="56">
        <f t="shared" si="256"/>
        <v>0</v>
      </c>
      <c r="I253" s="56">
        <f t="shared" si="256"/>
        <v>0</v>
      </c>
      <c r="J253" s="56">
        <f t="shared" si="256"/>
        <v>0</v>
      </c>
      <c r="K253" s="56">
        <f t="shared" si="256"/>
        <v>0</v>
      </c>
      <c r="L253" s="56">
        <f t="shared" si="256"/>
        <v>0</v>
      </c>
      <c r="M253" s="56">
        <f t="shared" si="256"/>
        <v>0</v>
      </c>
      <c r="N253" s="56">
        <f t="shared" si="256"/>
        <v>0</v>
      </c>
      <c r="O253" s="56">
        <f t="shared" si="256"/>
        <v>0</v>
      </c>
      <c r="P253" s="56">
        <f t="shared" si="256"/>
        <v>0</v>
      </c>
      <c r="Q253" s="56">
        <f t="shared" si="256"/>
        <v>0</v>
      </c>
      <c r="R253" s="56">
        <f t="shared" si="256"/>
        <v>0</v>
      </c>
      <c r="S253" s="56">
        <f t="shared" si="256"/>
        <v>0</v>
      </c>
      <c r="T253" s="56">
        <f t="shared" si="256"/>
        <v>0</v>
      </c>
      <c r="U253" s="56">
        <f t="shared" si="256"/>
        <v>0</v>
      </c>
      <c r="V253" s="56">
        <f t="shared" si="256"/>
        <v>0</v>
      </c>
      <c r="W253" s="56">
        <f t="shared" si="256"/>
        <v>0</v>
      </c>
      <c r="X253" s="56">
        <f t="shared" si="256"/>
        <v>0</v>
      </c>
      <c r="Y253" s="56">
        <f t="shared" si="256"/>
        <v>0</v>
      </c>
      <c r="Z253" s="56">
        <f t="shared" si="256"/>
        <v>0</v>
      </c>
      <c r="AB253" s="97"/>
      <c r="AC253" s="97"/>
      <c r="AD253" s="97"/>
    </row>
    <row r="254" spans="1:30" x14ac:dyDescent="0.2">
      <c r="A254" s="265"/>
      <c r="B254" s="248"/>
      <c r="C254" s="30" t="s">
        <v>18</v>
      </c>
      <c r="D254" s="60">
        <f t="shared" si="254"/>
        <v>0</v>
      </c>
      <c r="E254" s="60">
        <f t="shared" si="256"/>
        <v>0</v>
      </c>
      <c r="F254" s="60">
        <f t="shared" si="256"/>
        <v>0</v>
      </c>
      <c r="G254" s="60">
        <f t="shared" si="256"/>
        <v>0</v>
      </c>
      <c r="H254" s="60">
        <f t="shared" si="256"/>
        <v>0</v>
      </c>
      <c r="I254" s="60">
        <f t="shared" si="256"/>
        <v>0</v>
      </c>
      <c r="J254" s="60">
        <f t="shared" si="256"/>
        <v>0</v>
      </c>
      <c r="K254" s="60">
        <f t="shared" si="256"/>
        <v>0</v>
      </c>
      <c r="L254" s="60">
        <f t="shared" si="256"/>
        <v>0</v>
      </c>
      <c r="M254" s="60">
        <f t="shared" si="256"/>
        <v>0</v>
      </c>
      <c r="N254" s="60">
        <f t="shared" si="256"/>
        <v>0</v>
      </c>
      <c r="O254" s="60">
        <f t="shared" si="256"/>
        <v>0</v>
      </c>
      <c r="P254" s="60">
        <f t="shared" si="256"/>
        <v>0</v>
      </c>
      <c r="Q254" s="60">
        <f t="shared" si="256"/>
        <v>0</v>
      </c>
      <c r="R254" s="60">
        <f t="shared" si="256"/>
        <v>0</v>
      </c>
      <c r="S254" s="60">
        <f t="shared" si="256"/>
        <v>0</v>
      </c>
      <c r="T254" s="60">
        <f t="shared" si="256"/>
        <v>0</v>
      </c>
      <c r="U254" s="60">
        <f t="shared" si="256"/>
        <v>0</v>
      </c>
      <c r="V254" s="60">
        <f t="shared" si="256"/>
        <v>0</v>
      </c>
      <c r="W254" s="60">
        <f t="shared" si="256"/>
        <v>0</v>
      </c>
      <c r="X254" s="60">
        <f t="shared" si="256"/>
        <v>0</v>
      </c>
      <c r="Y254" s="60">
        <f t="shared" si="256"/>
        <v>0</v>
      </c>
      <c r="Z254" s="60">
        <f t="shared" si="256"/>
        <v>0</v>
      </c>
      <c r="AB254" s="97"/>
      <c r="AC254" s="97"/>
      <c r="AD254" s="97"/>
    </row>
    <row r="255" spans="1:30" x14ac:dyDescent="0.2">
      <c r="A255" s="265"/>
      <c r="B255" s="248"/>
      <c r="C255" s="30" t="s">
        <v>19</v>
      </c>
      <c r="D255" s="63">
        <f t="shared" si="254"/>
        <v>0</v>
      </c>
      <c r="E255" s="63">
        <f t="shared" si="256"/>
        <v>0</v>
      </c>
      <c r="F255" s="63">
        <f t="shared" si="256"/>
        <v>0</v>
      </c>
      <c r="G255" s="63">
        <f t="shared" si="256"/>
        <v>0</v>
      </c>
      <c r="H255" s="63">
        <f t="shared" si="256"/>
        <v>0</v>
      </c>
      <c r="I255" s="63">
        <f t="shared" si="256"/>
        <v>0</v>
      </c>
      <c r="J255" s="63">
        <f t="shared" si="256"/>
        <v>0</v>
      </c>
      <c r="K255" s="63">
        <f t="shared" si="256"/>
        <v>0</v>
      </c>
      <c r="L255" s="63">
        <f t="shared" si="256"/>
        <v>0</v>
      </c>
      <c r="M255" s="63">
        <f t="shared" si="256"/>
        <v>0</v>
      </c>
      <c r="N255" s="63">
        <f t="shared" si="256"/>
        <v>0</v>
      </c>
      <c r="O255" s="63">
        <f t="shared" si="256"/>
        <v>0</v>
      </c>
      <c r="P255" s="63">
        <f t="shared" si="256"/>
        <v>0</v>
      </c>
      <c r="Q255" s="63">
        <f t="shared" si="256"/>
        <v>0</v>
      </c>
      <c r="R255" s="63">
        <f t="shared" si="256"/>
        <v>0</v>
      </c>
      <c r="S255" s="63">
        <f t="shared" si="256"/>
        <v>0</v>
      </c>
      <c r="T255" s="63">
        <f t="shared" si="256"/>
        <v>0</v>
      </c>
      <c r="U255" s="63">
        <f t="shared" si="256"/>
        <v>0</v>
      </c>
      <c r="V255" s="63">
        <f t="shared" si="256"/>
        <v>0</v>
      </c>
      <c r="W255" s="63">
        <f t="shared" si="256"/>
        <v>0</v>
      </c>
      <c r="X255" s="63">
        <f t="shared" si="256"/>
        <v>0</v>
      </c>
      <c r="Y255" s="63">
        <f t="shared" si="256"/>
        <v>0</v>
      </c>
      <c r="Z255" s="63">
        <f t="shared" si="256"/>
        <v>0</v>
      </c>
      <c r="AB255" s="97"/>
      <c r="AC255" s="97"/>
      <c r="AD255" s="97"/>
    </row>
    <row r="256" spans="1:30" ht="12.75" customHeight="1" x14ac:dyDescent="0.2">
      <c r="A256" s="248" t="s">
        <v>92</v>
      </c>
      <c r="B256" s="248">
        <f>ship_plot</f>
        <v>0</v>
      </c>
      <c r="C256" s="30" t="s">
        <v>17</v>
      </c>
      <c r="D256" s="56">
        <f t="shared" ref="D256:Z256" si="257">IF(ship_plot=ship1,D238,IF(ship_plot=ship2,D241,IF(ship_plot=ship3,D244,IF(ship_plot=ship4,D247,IF(ship_plot=ship5,D250,IF(ship_plot=ship6,D253,"error"))))))</f>
        <v>0</v>
      </c>
      <c r="E256" s="56">
        <f t="shared" si="257"/>
        <v>0</v>
      </c>
      <c r="F256" s="56">
        <f t="shared" si="257"/>
        <v>0</v>
      </c>
      <c r="G256" s="56">
        <f t="shared" si="257"/>
        <v>0</v>
      </c>
      <c r="H256" s="56">
        <f t="shared" si="257"/>
        <v>0</v>
      </c>
      <c r="I256" s="56">
        <f t="shared" si="257"/>
        <v>0</v>
      </c>
      <c r="J256" s="56">
        <f t="shared" si="257"/>
        <v>0</v>
      </c>
      <c r="K256" s="56">
        <f t="shared" si="257"/>
        <v>0</v>
      </c>
      <c r="L256" s="56">
        <f t="shared" si="257"/>
        <v>0</v>
      </c>
      <c r="M256" s="56">
        <f t="shared" si="257"/>
        <v>0</v>
      </c>
      <c r="N256" s="56">
        <f t="shared" si="257"/>
        <v>0</v>
      </c>
      <c r="O256" s="56">
        <f t="shared" si="257"/>
        <v>0</v>
      </c>
      <c r="P256" s="56">
        <f t="shared" si="257"/>
        <v>0</v>
      </c>
      <c r="Q256" s="56">
        <f t="shared" si="257"/>
        <v>0</v>
      </c>
      <c r="R256" s="56">
        <f t="shared" si="257"/>
        <v>0</v>
      </c>
      <c r="S256" s="56">
        <f t="shared" si="257"/>
        <v>0</v>
      </c>
      <c r="T256" s="56">
        <f t="shared" si="257"/>
        <v>0</v>
      </c>
      <c r="U256" s="56">
        <f t="shared" si="257"/>
        <v>0</v>
      </c>
      <c r="V256" s="56">
        <f t="shared" si="257"/>
        <v>0</v>
      </c>
      <c r="W256" s="56">
        <f t="shared" si="257"/>
        <v>0</v>
      </c>
      <c r="X256" s="56">
        <f t="shared" si="257"/>
        <v>0</v>
      </c>
      <c r="Y256" s="56">
        <f t="shared" si="257"/>
        <v>0</v>
      </c>
      <c r="Z256" s="56">
        <f t="shared" si="257"/>
        <v>0</v>
      </c>
      <c r="AB256" s="102">
        <f t="shared" ref="AB256:AD258" si="258">AB142-AB226</f>
        <v>0</v>
      </c>
      <c r="AC256" s="103">
        <f t="shared" si="258"/>
        <v>0</v>
      </c>
      <c r="AD256" s="104">
        <f t="shared" si="258"/>
        <v>0</v>
      </c>
    </row>
    <row r="257" spans="1:32" x14ac:dyDescent="0.2">
      <c r="A257" s="248"/>
      <c r="B257" s="248"/>
      <c r="C257" s="30" t="s">
        <v>18</v>
      </c>
      <c r="D257" s="60">
        <f t="shared" ref="D257:Z257" si="259">IF(ship_plot=ship1,D239,IF(ship_plot=ship2,D242,IF(ship_plot=ship3,D245,IF(ship_plot=ship4,D248,IF(ship_plot=ship5,D251,IF(ship_plot=ship6,D254,"error"))))))</f>
        <v>0</v>
      </c>
      <c r="E257" s="60">
        <f t="shared" si="259"/>
        <v>0</v>
      </c>
      <c r="F257" s="60">
        <f t="shared" si="259"/>
        <v>0</v>
      </c>
      <c r="G257" s="60">
        <f t="shared" si="259"/>
        <v>0</v>
      </c>
      <c r="H257" s="60">
        <f t="shared" si="259"/>
        <v>0</v>
      </c>
      <c r="I257" s="60">
        <f t="shared" si="259"/>
        <v>0</v>
      </c>
      <c r="J257" s="60">
        <f t="shared" si="259"/>
        <v>0</v>
      </c>
      <c r="K257" s="60">
        <f t="shared" si="259"/>
        <v>0</v>
      </c>
      <c r="L257" s="60">
        <f t="shared" si="259"/>
        <v>0</v>
      </c>
      <c r="M257" s="60">
        <f t="shared" si="259"/>
        <v>0</v>
      </c>
      <c r="N257" s="60">
        <f t="shared" si="259"/>
        <v>0</v>
      </c>
      <c r="O257" s="60">
        <f t="shared" si="259"/>
        <v>0</v>
      </c>
      <c r="P257" s="60">
        <f t="shared" si="259"/>
        <v>0</v>
      </c>
      <c r="Q257" s="60">
        <f t="shared" si="259"/>
        <v>0</v>
      </c>
      <c r="R257" s="60">
        <f t="shared" si="259"/>
        <v>0</v>
      </c>
      <c r="S257" s="60">
        <f t="shared" si="259"/>
        <v>0</v>
      </c>
      <c r="T257" s="60">
        <f t="shared" si="259"/>
        <v>0</v>
      </c>
      <c r="U257" s="60">
        <f t="shared" si="259"/>
        <v>0</v>
      </c>
      <c r="V257" s="60">
        <f t="shared" si="259"/>
        <v>0</v>
      </c>
      <c r="W257" s="60">
        <f t="shared" si="259"/>
        <v>0</v>
      </c>
      <c r="X257" s="60">
        <f t="shared" si="259"/>
        <v>0</v>
      </c>
      <c r="Y257" s="60">
        <f t="shared" si="259"/>
        <v>0</v>
      </c>
      <c r="Z257" s="60">
        <f t="shared" si="259"/>
        <v>0</v>
      </c>
      <c r="AB257" s="61">
        <f t="shared" si="258"/>
        <v>0</v>
      </c>
      <c r="AC257" s="60">
        <f t="shared" si="258"/>
        <v>0</v>
      </c>
      <c r="AD257" s="62">
        <f t="shared" si="258"/>
        <v>0</v>
      </c>
    </row>
    <row r="258" spans="1:32" ht="13.5" thickBot="1" x14ac:dyDescent="0.25">
      <c r="A258" s="248"/>
      <c r="B258" s="248"/>
      <c r="C258" s="30" t="s">
        <v>19</v>
      </c>
      <c r="D258" s="63">
        <f t="shared" ref="D258:Z258" si="260">IF(ship_plot=ship1,D240,IF(ship_plot=ship2,D243,IF(ship_plot=ship3,D246,IF(ship_plot=ship4,D249,IF(ship_plot=ship5,D252,IF(ship_plot=ship6,D255,"error"))))))</f>
        <v>0</v>
      </c>
      <c r="E258" s="63">
        <f t="shared" si="260"/>
        <v>0</v>
      </c>
      <c r="F258" s="63">
        <f t="shared" si="260"/>
        <v>0</v>
      </c>
      <c r="G258" s="63">
        <f t="shared" si="260"/>
        <v>0</v>
      </c>
      <c r="H258" s="63">
        <f t="shared" si="260"/>
        <v>0</v>
      </c>
      <c r="I258" s="63">
        <f t="shared" si="260"/>
        <v>0</v>
      </c>
      <c r="J258" s="63">
        <f t="shared" si="260"/>
        <v>0</v>
      </c>
      <c r="K258" s="63">
        <f t="shared" si="260"/>
        <v>0</v>
      </c>
      <c r="L258" s="63">
        <f t="shared" si="260"/>
        <v>0</v>
      </c>
      <c r="M258" s="63">
        <f t="shared" si="260"/>
        <v>0</v>
      </c>
      <c r="N258" s="63">
        <f t="shared" si="260"/>
        <v>0</v>
      </c>
      <c r="O258" s="63">
        <f t="shared" si="260"/>
        <v>0</v>
      </c>
      <c r="P258" s="63">
        <f t="shared" si="260"/>
        <v>0</v>
      </c>
      <c r="Q258" s="63">
        <f t="shared" si="260"/>
        <v>0</v>
      </c>
      <c r="R258" s="63">
        <f t="shared" si="260"/>
        <v>0</v>
      </c>
      <c r="S258" s="63">
        <f t="shared" si="260"/>
        <v>0</v>
      </c>
      <c r="T258" s="63">
        <f t="shared" si="260"/>
        <v>0</v>
      </c>
      <c r="U258" s="63">
        <f t="shared" si="260"/>
        <v>0</v>
      </c>
      <c r="V258" s="63">
        <f t="shared" si="260"/>
        <v>0</v>
      </c>
      <c r="W258" s="63">
        <f t="shared" si="260"/>
        <v>0</v>
      </c>
      <c r="X258" s="63">
        <f t="shared" si="260"/>
        <v>0</v>
      </c>
      <c r="Y258" s="63">
        <f t="shared" si="260"/>
        <v>0</v>
      </c>
      <c r="Z258" s="63">
        <f t="shared" si="260"/>
        <v>0</v>
      </c>
      <c r="AB258" s="68">
        <f t="shared" si="258"/>
        <v>0</v>
      </c>
      <c r="AC258" s="69">
        <f t="shared" si="258"/>
        <v>0</v>
      </c>
      <c r="AD258" s="70">
        <f t="shared" si="258"/>
        <v>0</v>
      </c>
    </row>
    <row r="259" spans="1:32" ht="12.75" customHeight="1" thickBot="1" x14ac:dyDescent="0.25">
      <c r="A259" s="76" t="s">
        <v>57</v>
      </c>
      <c r="B259" s="76">
        <f>ship_plot</f>
        <v>0</v>
      </c>
      <c r="C259" s="77">
        <f>scenario_display</f>
        <v>0</v>
      </c>
      <c r="D259" s="78">
        <f t="shared" ref="D259:Z259" si="261">IF(scenario_display="Low",D256,IF(scenario_display="Medium",D257,D258))</f>
        <v>0</v>
      </c>
      <c r="E259" s="78">
        <f t="shared" si="261"/>
        <v>0</v>
      </c>
      <c r="F259" s="78">
        <f t="shared" si="261"/>
        <v>0</v>
      </c>
      <c r="G259" s="78">
        <f t="shared" si="261"/>
        <v>0</v>
      </c>
      <c r="H259" s="78">
        <f t="shared" si="261"/>
        <v>0</v>
      </c>
      <c r="I259" s="78">
        <f t="shared" si="261"/>
        <v>0</v>
      </c>
      <c r="J259" s="78">
        <f t="shared" si="261"/>
        <v>0</v>
      </c>
      <c r="K259" s="78">
        <f t="shared" si="261"/>
        <v>0</v>
      </c>
      <c r="L259" s="78">
        <f t="shared" si="261"/>
        <v>0</v>
      </c>
      <c r="M259" s="78">
        <f t="shared" si="261"/>
        <v>0</v>
      </c>
      <c r="N259" s="78">
        <f t="shared" si="261"/>
        <v>0</v>
      </c>
      <c r="O259" s="78">
        <f t="shared" si="261"/>
        <v>0</v>
      </c>
      <c r="P259" s="78">
        <f t="shared" si="261"/>
        <v>0</v>
      </c>
      <c r="Q259" s="78">
        <f t="shared" si="261"/>
        <v>0</v>
      </c>
      <c r="R259" s="78">
        <f t="shared" si="261"/>
        <v>0</v>
      </c>
      <c r="S259" s="78">
        <f t="shared" si="261"/>
        <v>0</v>
      </c>
      <c r="T259" s="78">
        <f t="shared" si="261"/>
        <v>0</v>
      </c>
      <c r="U259" s="78">
        <f t="shared" si="261"/>
        <v>0</v>
      </c>
      <c r="V259" s="78">
        <f t="shared" si="261"/>
        <v>0</v>
      </c>
      <c r="W259" s="78">
        <f t="shared" si="261"/>
        <v>0</v>
      </c>
      <c r="X259" s="78">
        <f t="shared" si="261"/>
        <v>0</v>
      </c>
      <c r="Y259" s="78">
        <f t="shared" si="261"/>
        <v>0</v>
      </c>
      <c r="Z259" s="78">
        <f t="shared" si="261"/>
        <v>0</v>
      </c>
      <c r="AB259" s="105">
        <f>IF(scenario_display="Low",AB256,IF(scenario_display="Medium",AB257,AB258))</f>
        <v>0</v>
      </c>
      <c r="AC259" s="105">
        <f>IF(scenario_display="Low",AC256,IF(scenario_display="Medium",AC257,AC258))</f>
        <v>0</v>
      </c>
      <c r="AD259" s="105">
        <f>IF(scenario_display="Low",AD256,IF(scenario_display="Medium",AD257,AD258))</f>
        <v>0</v>
      </c>
    </row>
    <row r="260" spans="1:32" ht="12.75" customHeight="1" x14ac:dyDescent="0.2">
      <c r="A260" s="248" t="s">
        <v>58</v>
      </c>
      <c r="B260" s="248">
        <f>ship1</f>
        <v>0</v>
      </c>
      <c r="C260" s="30" t="s">
        <v>17</v>
      </c>
      <c r="D260" s="56">
        <f>IF(egcs_year_ship1&lt;=D$2,-capex_ship1*10^6+SUMIF($D238:D238,"&lt;&gt;#N/A"),NA())</f>
        <v>0</v>
      </c>
      <c r="E260" s="56">
        <f>IF(egcs_year_ship1&lt;=E$2,-capex_ship1*10^6+SUMIF($D238:E238,"&lt;&gt;#N/A"),NA())</f>
        <v>0</v>
      </c>
      <c r="F260" s="56">
        <f>IF(egcs_year_ship1&lt;=F$2,-capex_ship1*10^6+SUMIF($D238:F238,"&lt;&gt;#N/A"),NA())</f>
        <v>0</v>
      </c>
      <c r="G260" s="56">
        <f>IF(egcs_year_ship1&lt;=G$2,-capex_ship1*10^6+SUMIF($D238:G238,"&lt;&gt;#N/A"),NA())</f>
        <v>0</v>
      </c>
      <c r="H260" s="56">
        <f>IF(egcs_year_ship1&lt;=H$2,-capex_ship1*10^6+SUMIF($D238:H238,"&lt;&gt;#N/A"),NA())</f>
        <v>0</v>
      </c>
      <c r="I260" s="56">
        <f>IF(egcs_year_ship1&lt;=I$2,-capex_ship1*10^6+SUMIF($D238:I238,"&lt;&gt;#N/A"),NA())</f>
        <v>0</v>
      </c>
      <c r="J260" s="56">
        <f>IF(egcs_year_ship1&lt;=J$2,-capex_ship1*10^6+SUMIF($D238:J238,"&lt;&gt;#N/A"),NA())</f>
        <v>0</v>
      </c>
      <c r="K260" s="56">
        <f>IF(egcs_year_ship1&lt;=K$2,-capex_ship1*10^6+SUMIF($D238:K238,"&lt;&gt;#N/A"),NA())</f>
        <v>0</v>
      </c>
      <c r="L260" s="56">
        <f>IF(egcs_year_ship1&lt;=L$2,-capex_ship1*10^6+SUMIF($D238:L238,"&lt;&gt;#N/A"),NA())</f>
        <v>0</v>
      </c>
      <c r="M260" s="56">
        <f>IF(egcs_year_ship1&lt;=M$2,-capex_ship1*10^6+SUMIF($D238:M238,"&lt;&gt;#N/A"),NA())</f>
        <v>0</v>
      </c>
      <c r="N260" s="56">
        <f>IF(egcs_year_ship1&lt;=N$2,-capex_ship1*10^6+SUMIF($D238:N238,"&lt;&gt;#N/A"),NA())</f>
        <v>0</v>
      </c>
      <c r="O260" s="56">
        <f>IF(egcs_year_ship1&lt;=O$2,-capex_ship1*10^6+SUMIF($D238:O238,"&lt;&gt;#N/A"),NA())</f>
        <v>0</v>
      </c>
      <c r="P260" s="56">
        <f>IF(egcs_year_ship1&lt;=P$2,-capex_ship1*10^6+SUMIF($D238:P238,"&lt;&gt;#N/A"),NA())</f>
        <v>0</v>
      </c>
      <c r="Q260" s="56">
        <f>IF(egcs_year_ship1&lt;=Q$2,-capex_ship1*10^6+SUMIF($D238:Q238,"&lt;&gt;#N/A"),NA())</f>
        <v>0</v>
      </c>
      <c r="R260" s="56">
        <f>IF(egcs_year_ship1&lt;=R$2,-capex_ship1*10^6+SUMIF($D238:R238,"&lt;&gt;#N/A"),NA())</f>
        <v>0</v>
      </c>
      <c r="S260" s="56">
        <f>IF(egcs_year_ship1&lt;=S$2,-capex_ship1*10^6+SUMIF($D238:S238,"&lt;&gt;#N/A"),NA())</f>
        <v>0</v>
      </c>
      <c r="T260" s="56">
        <f>IF(egcs_year_ship1&lt;=T$2,-capex_ship1*10^6+SUMIF($D238:T238,"&lt;&gt;#N/A"),NA())</f>
        <v>0</v>
      </c>
      <c r="U260" s="56">
        <f>IF(egcs_year_ship1&lt;=U$2,-capex_ship1*10^6+SUMIF($D238:U238,"&lt;&gt;#N/A"),NA())</f>
        <v>0</v>
      </c>
      <c r="V260" s="56">
        <f>IF(egcs_year_ship1&lt;=V$2,-capex_ship1*10^6+SUMIF($D238:V238,"&lt;&gt;#N/A"),NA())</f>
        <v>0</v>
      </c>
      <c r="W260" s="56">
        <f>IF(egcs_year_ship1&lt;=W$2,-capex_ship1*10^6+SUMIF($D238:W238,"&lt;&gt;#N/A"),NA())</f>
        <v>0</v>
      </c>
      <c r="X260" s="56">
        <f>IF(egcs_year_ship1&lt;=X$2,-capex_ship1*10^6+SUMIF($D238:X238,"&lt;&gt;#N/A"),NA())</f>
        <v>0</v>
      </c>
      <c r="Y260" s="56">
        <f>IF(egcs_year_ship1&lt;=Y$2,-capex_ship1*10^6+SUMIF($D238:Y238,"&lt;&gt;#N/A"),NA())</f>
        <v>0</v>
      </c>
      <c r="Z260" s="56">
        <f>IF(egcs_year_ship1&lt;=Z$2,-capex_ship1*10^6+SUMIF($D238:Z238,"&lt;&gt;#N/A"),NA())</f>
        <v>0</v>
      </c>
      <c r="AB260" s="57">
        <f t="shared" ref="AB260:AB277" si="262">AVERAGE(D260:E260)</f>
        <v>0</v>
      </c>
      <c r="AC260" s="58">
        <f t="shared" ref="AC260:AC277" si="263">AVERAGE(F260:J260)</f>
        <v>0</v>
      </c>
      <c r="AD260" s="59">
        <f t="shared" ref="AD260:AD274" si="264">AVERAGE(K260:Z260)</f>
        <v>0</v>
      </c>
    </row>
    <row r="261" spans="1:32" x14ac:dyDescent="0.2">
      <c r="A261" s="265"/>
      <c r="B261" s="248"/>
      <c r="C261" s="30" t="s">
        <v>18</v>
      </c>
      <c r="D261" s="60">
        <f>IF(egcs_year_ship1&lt;=D$2,-capex_ship1*10^6+SUMIF($D239:D239,"&lt;&gt;#N/A"),NA())</f>
        <v>0</v>
      </c>
      <c r="E261" s="60">
        <f>IF(egcs_year_ship1&lt;=E$2,-capex_ship1*10^6+SUMIF($D239:E239,"&lt;&gt;#N/A"),NA())</f>
        <v>0</v>
      </c>
      <c r="F261" s="60">
        <f>IF(egcs_year_ship1&lt;=F$2,-capex_ship1*10^6+SUMIF($D239:F239,"&lt;&gt;#N/A"),NA())</f>
        <v>0</v>
      </c>
      <c r="G261" s="60">
        <f>IF(egcs_year_ship1&lt;=G$2,-capex_ship1*10^6+SUMIF($D239:G239,"&lt;&gt;#N/A"),NA())</f>
        <v>0</v>
      </c>
      <c r="H261" s="60">
        <f>IF(egcs_year_ship1&lt;=H$2,-capex_ship1*10^6+SUMIF($D239:H239,"&lt;&gt;#N/A"),NA())</f>
        <v>0</v>
      </c>
      <c r="I261" s="60">
        <f>IF(egcs_year_ship1&lt;=I$2,-capex_ship1*10^6+SUMIF($D239:I239,"&lt;&gt;#N/A"),NA())</f>
        <v>0</v>
      </c>
      <c r="J261" s="60">
        <f>IF(egcs_year_ship1&lt;=J$2,-capex_ship1*10^6+SUMIF($D239:J239,"&lt;&gt;#N/A"),NA())</f>
        <v>0</v>
      </c>
      <c r="K261" s="60">
        <f>IF(egcs_year_ship1&lt;=K$2,-capex_ship1*10^6+SUMIF($D239:K239,"&lt;&gt;#N/A"),NA())</f>
        <v>0</v>
      </c>
      <c r="L261" s="60">
        <f>IF(egcs_year_ship1&lt;=L$2,-capex_ship1*10^6+SUMIF($D239:L239,"&lt;&gt;#N/A"),NA())</f>
        <v>0</v>
      </c>
      <c r="M261" s="60">
        <f>IF(egcs_year_ship1&lt;=M$2,-capex_ship1*10^6+SUMIF($D239:M239,"&lt;&gt;#N/A"),NA())</f>
        <v>0</v>
      </c>
      <c r="N261" s="60">
        <f>IF(egcs_year_ship1&lt;=N$2,-capex_ship1*10^6+SUMIF($D239:N239,"&lt;&gt;#N/A"),NA())</f>
        <v>0</v>
      </c>
      <c r="O261" s="60">
        <f>IF(egcs_year_ship1&lt;=O$2,-capex_ship1*10^6+SUMIF($D239:O239,"&lt;&gt;#N/A"),NA())</f>
        <v>0</v>
      </c>
      <c r="P261" s="60">
        <f>IF(egcs_year_ship1&lt;=P$2,-capex_ship1*10^6+SUMIF($D239:P239,"&lt;&gt;#N/A"),NA())</f>
        <v>0</v>
      </c>
      <c r="Q261" s="60">
        <f>IF(egcs_year_ship1&lt;=Q$2,-capex_ship1*10^6+SUMIF($D239:Q239,"&lt;&gt;#N/A"),NA())</f>
        <v>0</v>
      </c>
      <c r="R261" s="60">
        <f>IF(egcs_year_ship1&lt;=R$2,-capex_ship1*10^6+SUMIF($D239:R239,"&lt;&gt;#N/A"),NA())</f>
        <v>0</v>
      </c>
      <c r="S261" s="60">
        <f>IF(egcs_year_ship1&lt;=S$2,-capex_ship1*10^6+SUMIF($D239:S239,"&lt;&gt;#N/A"),NA())</f>
        <v>0</v>
      </c>
      <c r="T261" s="60">
        <f>IF(egcs_year_ship1&lt;=T$2,-capex_ship1*10^6+SUMIF($D239:T239,"&lt;&gt;#N/A"),NA())</f>
        <v>0</v>
      </c>
      <c r="U261" s="60">
        <f>IF(egcs_year_ship1&lt;=U$2,-capex_ship1*10^6+SUMIF($D239:U239,"&lt;&gt;#N/A"),NA())</f>
        <v>0</v>
      </c>
      <c r="V261" s="60">
        <f>IF(egcs_year_ship1&lt;=V$2,-capex_ship1*10^6+SUMIF($D239:V239,"&lt;&gt;#N/A"),NA())</f>
        <v>0</v>
      </c>
      <c r="W261" s="60">
        <f>IF(egcs_year_ship1&lt;=W$2,-capex_ship1*10^6+SUMIF($D239:W239,"&lt;&gt;#N/A"),NA())</f>
        <v>0</v>
      </c>
      <c r="X261" s="60">
        <f>IF(egcs_year_ship1&lt;=X$2,-capex_ship1*10^6+SUMIF($D239:X239,"&lt;&gt;#N/A"),NA())</f>
        <v>0</v>
      </c>
      <c r="Y261" s="60">
        <f>IF(egcs_year_ship1&lt;=Y$2,-capex_ship1*10^6+SUMIF($D239:Y239,"&lt;&gt;#N/A"),NA())</f>
        <v>0</v>
      </c>
      <c r="Z261" s="60">
        <f>IF(egcs_year_ship1&lt;=Z$2,-capex_ship1*10^6+SUMIF($D239:Z239,"&lt;&gt;#N/A"),NA())</f>
        <v>0</v>
      </c>
      <c r="AB261" s="61">
        <f t="shared" si="262"/>
        <v>0</v>
      </c>
      <c r="AC261" s="60">
        <f t="shared" si="263"/>
        <v>0</v>
      </c>
      <c r="AD261" s="62">
        <f t="shared" si="264"/>
        <v>0</v>
      </c>
    </row>
    <row r="262" spans="1:32" x14ac:dyDescent="0.2">
      <c r="A262" s="265"/>
      <c r="B262" s="248"/>
      <c r="C262" s="30" t="s">
        <v>19</v>
      </c>
      <c r="D262" s="63">
        <f>IF(egcs_year_ship1&lt;=D$2,-capex_ship1*10^6+SUMIF($D240:D240,"&lt;&gt;#N/A"),NA())</f>
        <v>0</v>
      </c>
      <c r="E262" s="63">
        <f>IF(egcs_year_ship1&lt;=E$2,-capex_ship1*10^6+SUMIF($D240:E240,"&lt;&gt;#N/A"),NA())</f>
        <v>0</v>
      </c>
      <c r="F262" s="63">
        <f>IF(egcs_year_ship1&lt;=F$2,-capex_ship1*10^6+SUMIF($D240:F240,"&lt;&gt;#N/A"),NA())</f>
        <v>0</v>
      </c>
      <c r="G262" s="63">
        <f>IF(egcs_year_ship1&lt;=G$2,-capex_ship1*10^6+SUMIF($D240:G240,"&lt;&gt;#N/A"),NA())</f>
        <v>0</v>
      </c>
      <c r="H262" s="63">
        <f>IF(egcs_year_ship1&lt;=H$2,-capex_ship1*10^6+SUMIF($D240:H240,"&lt;&gt;#N/A"),NA())</f>
        <v>0</v>
      </c>
      <c r="I262" s="63">
        <f>IF(egcs_year_ship1&lt;=I$2,-capex_ship1*10^6+SUMIF($D240:I240,"&lt;&gt;#N/A"),NA())</f>
        <v>0</v>
      </c>
      <c r="J262" s="63">
        <f>IF(egcs_year_ship1&lt;=J$2,-capex_ship1*10^6+SUMIF($D240:J240,"&lt;&gt;#N/A"),NA())</f>
        <v>0</v>
      </c>
      <c r="K262" s="63">
        <f>IF(egcs_year_ship1&lt;=K$2,-capex_ship1*10^6+SUMIF($D240:K240,"&lt;&gt;#N/A"),NA())</f>
        <v>0</v>
      </c>
      <c r="L262" s="63">
        <f>IF(egcs_year_ship1&lt;=L$2,-capex_ship1*10^6+SUMIF($D240:L240,"&lt;&gt;#N/A"),NA())</f>
        <v>0</v>
      </c>
      <c r="M262" s="63">
        <f>IF(egcs_year_ship1&lt;=M$2,-capex_ship1*10^6+SUMIF($D240:M240,"&lt;&gt;#N/A"),NA())</f>
        <v>0</v>
      </c>
      <c r="N262" s="63">
        <f>IF(egcs_year_ship1&lt;=N$2,-capex_ship1*10^6+SUMIF($D240:N240,"&lt;&gt;#N/A"),NA())</f>
        <v>0</v>
      </c>
      <c r="O262" s="63">
        <f>IF(egcs_year_ship1&lt;=O$2,-capex_ship1*10^6+SUMIF($D240:O240,"&lt;&gt;#N/A"),NA())</f>
        <v>0</v>
      </c>
      <c r="P262" s="63">
        <f>IF(egcs_year_ship1&lt;=P$2,-capex_ship1*10^6+SUMIF($D240:P240,"&lt;&gt;#N/A"),NA())</f>
        <v>0</v>
      </c>
      <c r="Q262" s="63">
        <f>IF(egcs_year_ship1&lt;=Q$2,-capex_ship1*10^6+SUMIF($D240:Q240,"&lt;&gt;#N/A"),NA())</f>
        <v>0</v>
      </c>
      <c r="R262" s="63">
        <f>IF(egcs_year_ship1&lt;=R$2,-capex_ship1*10^6+SUMIF($D240:R240,"&lt;&gt;#N/A"),NA())</f>
        <v>0</v>
      </c>
      <c r="S262" s="63">
        <f>IF(egcs_year_ship1&lt;=S$2,-capex_ship1*10^6+SUMIF($D240:S240,"&lt;&gt;#N/A"),NA())</f>
        <v>0</v>
      </c>
      <c r="T262" s="63">
        <f>IF(egcs_year_ship1&lt;=T$2,-capex_ship1*10^6+SUMIF($D240:T240,"&lt;&gt;#N/A"),NA())</f>
        <v>0</v>
      </c>
      <c r="U262" s="63">
        <f>IF(egcs_year_ship1&lt;=U$2,-capex_ship1*10^6+SUMIF($D240:U240,"&lt;&gt;#N/A"),NA())</f>
        <v>0</v>
      </c>
      <c r="V262" s="63">
        <f>IF(egcs_year_ship1&lt;=V$2,-capex_ship1*10^6+SUMIF($D240:V240,"&lt;&gt;#N/A"),NA())</f>
        <v>0</v>
      </c>
      <c r="W262" s="63">
        <f>IF(egcs_year_ship1&lt;=W$2,-capex_ship1*10^6+SUMIF($D240:W240,"&lt;&gt;#N/A"),NA())</f>
        <v>0</v>
      </c>
      <c r="X262" s="63">
        <f>IF(egcs_year_ship1&lt;=X$2,-capex_ship1*10^6+SUMIF($D240:X240,"&lt;&gt;#N/A"),NA())</f>
        <v>0</v>
      </c>
      <c r="Y262" s="63">
        <f>IF(egcs_year_ship1&lt;=Y$2,-capex_ship1*10^6+SUMIF($D240:Y240,"&lt;&gt;#N/A"),NA())</f>
        <v>0</v>
      </c>
      <c r="Z262" s="63">
        <f>IF(egcs_year_ship1&lt;=Z$2,-capex_ship1*10^6+SUMIF($D240:Z240,"&lt;&gt;#N/A"),NA())</f>
        <v>0</v>
      </c>
      <c r="AB262" s="64">
        <f t="shared" si="262"/>
        <v>0</v>
      </c>
      <c r="AC262" s="63">
        <f t="shared" si="263"/>
        <v>0</v>
      </c>
      <c r="AD262" s="65">
        <f t="shared" si="264"/>
        <v>0</v>
      </c>
      <c r="AF262" s="108"/>
    </row>
    <row r="263" spans="1:32" x14ac:dyDescent="0.2">
      <c r="A263" s="265"/>
      <c r="B263" s="248">
        <f>ship2</f>
        <v>0</v>
      </c>
      <c r="C263" s="30" t="s">
        <v>17</v>
      </c>
      <c r="D263" s="56">
        <f>IF(egcs_year_ship2&lt;=D$2,-capex_ship2*10^6+SUMIF($D241:D241,"&lt;&gt;#N/A"),NA())</f>
        <v>0</v>
      </c>
      <c r="E263" s="56">
        <f>IF(egcs_year_ship2&lt;=E$2,-capex_ship2*10^6+SUMIF($D241:E241,"&lt;&gt;#N/A"),NA())</f>
        <v>0</v>
      </c>
      <c r="F263" s="56">
        <f>IF(egcs_year_ship2&lt;=F$2,-capex_ship2*10^6+SUMIF($D241:F241,"&lt;&gt;#N/A"),NA())</f>
        <v>0</v>
      </c>
      <c r="G263" s="56">
        <f>IF(egcs_year_ship2&lt;=G$2,-capex_ship2*10^6+SUMIF($D241:G241,"&lt;&gt;#N/A"),NA())</f>
        <v>0</v>
      </c>
      <c r="H263" s="56">
        <f>IF(egcs_year_ship2&lt;=H$2,-capex_ship2*10^6+SUMIF($D241:H241,"&lt;&gt;#N/A"),NA())</f>
        <v>0</v>
      </c>
      <c r="I263" s="56">
        <f>IF(egcs_year_ship2&lt;=I$2,-capex_ship2*10^6+SUMIF($D241:I241,"&lt;&gt;#N/A"),NA())</f>
        <v>0</v>
      </c>
      <c r="J263" s="56">
        <f>IF(egcs_year_ship2&lt;=J$2,-capex_ship2*10^6+SUMIF($D241:J241,"&lt;&gt;#N/A"),NA())</f>
        <v>0</v>
      </c>
      <c r="K263" s="56">
        <f>IF(egcs_year_ship2&lt;=K$2,-capex_ship2*10^6+SUMIF($D241:K241,"&lt;&gt;#N/A"),NA())</f>
        <v>0</v>
      </c>
      <c r="L263" s="56">
        <f>IF(egcs_year_ship2&lt;=L$2,-capex_ship2*10^6+SUMIF($D241:L241,"&lt;&gt;#N/A"),NA())</f>
        <v>0</v>
      </c>
      <c r="M263" s="56">
        <f>IF(egcs_year_ship2&lt;=M$2,-capex_ship2*10^6+SUMIF($D241:M241,"&lt;&gt;#N/A"),NA())</f>
        <v>0</v>
      </c>
      <c r="N263" s="56">
        <f>IF(egcs_year_ship2&lt;=N$2,-capex_ship2*10^6+SUMIF($D241:N241,"&lt;&gt;#N/A"),NA())</f>
        <v>0</v>
      </c>
      <c r="O263" s="56">
        <f>IF(egcs_year_ship2&lt;=O$2,-capex_ship2*10^6+SUMIF($D241:O241,"&lt;&gt;#N/A"),NA())</f>
        <v>0</v>
      </c>
      <c r="P263" s="56">
        <f>IF(egcs_year_ship2&lt;=P$2,-capex_ship2*10^6+SUMIF($D241:P241,"&lt;&gt;#N/A"),NA())</f>
        <v>0</v>
      </c>
      <c r="Q263" s="56">
        <f>IF(egcs_year_ship2&lt;=Q$2,-capex_ship2*10^6+SUMIF($D241:Q241,"&lt;&gt;#N/A"),NA())</f>
        <v>0</v>
      </c>
      <c r="R263" s="56">
        <f>IF(egcs_year_ship2&lt;=R$2,-capex_ship2*10^6+SUMIF($D241:R241,"&lt;&gt;#N/A"),NA())</f>
        <v>0</v>
      </c>
      <c r="S263" s="56">
        <f>IF(egcs_year_ship2&lt;=S$2,-capex_ship2*10^6+SUMIF($D241:S241,"&lt;&gt;#N/A"),NA())</f>
        <v>0</v>
      </c>
      <c r="T263" s="56">
        <f>IF(egcs_year_ship2&lt;=T$2,-capex_ship2*10^6+SUMIF($D241:T241,"&lt;&gt;#N/A"),NA())</f>
        <v>0</v>
      </c>
      <c r="U263" s="56">
        <f>IF(egcs_year_ship2&lt;=U$2,-capex_ship2*10^6+SUMIF($D241:U241,"&lt;&gt;#N/A"),NA())</f>
        <v>0</v>
      </c>
      <c r="V263" s="56">
        <f>IF(egcs_year_ship2&lt;=V$2,-capex_ship2*10^6+SUMIF($D241:V241,"&lt;&gt;#N/A"),NA())</f>
        <v>0</v>
      </c>
      <c r="W263" s="56">
        <f>IF(egcs_year_ship2&lt;=W$2,-capex_ship2*10^6+SUMIF($D241:W241,"&lt;&gt;#N/A"),NA())</f>
        <v>0</v>
      </c>
      <c r="X263" s="56">
        <f>IF(egcs_year_ship2&lt;=X$2,-capex_ship2*10^6+SUMIF($D241:X241,"&lt;&gt;#N/A"),NA())</f>
        <v>0</v>
      </c>
      <c r="Y263" s="56">
        <f>IF(egcs_year_ship2&lt;=Y$2,-capex_ship2*10^6+SUMIF($D241:Y241,"&lt;&gt;#N/A"),NA())</f>
        <v>0</v>
      </c>
      <c r="Z263" s="56">
        <f>IF(egcs_year_ship2&lt;=Z$2,-capex_ship2*10^6+SUMIF($D241:Z241,"&lt;&gt;#N/A"),NA())</f>
        <v>0</v>
      </c>
      <c r="AB263" s="66">
        <f t="shared" si="262"/>
        <v>0</v>
      </c>
      <c r="AC263" s="56">
        <f t="shared" si="263"/>
        <v>0</v>
      </c>
      <c r="AD263" s="67">
        <f t="shared" si="264"/>
        <v>0</v>
      </c>
    </row>
    <row r="264" spans="1:32" x14ac:dyDescent="0.2">
      <c r="A264" s="265"/>
      <c r="B264" s="248"/>
      <c r="C264" s="30" t="s">
        <v>18</v>
      </c>
      <c r="D264" s="60">
        <f>IF(egcs_year_ship2&lt;=D$2,-capex_ship2*10^6+SUMIF($D242:D242,"&lt;&gt;#N/A"),NA())</f>
        <v>0</v>
      </c>
      <c r="E264" s="60">
        <f>IF(egcs_year_ship2&lt;=E$2,-capex_ship2*10^6+SUMIF($D242:E242,"&lt;&gt;#N/A"),NA())</f>
        <v>0</v>
      </c>
      <c r="F264" s="60">
        <f>IF(egcs_year_ship2&lt;=F$2,-capex_ship2*10^6+SUMIF($D242:F242,"&lt;&gt;#N/A"),NA())</f>
        <v>0</v>
      </c>
      <c r="G264" s="60">
        <f>IF(egcs_year_ship2&lt;=G$2,-capex_ship2*10^6+SUMIF($D242:G242,"&lt;&gt;#N/A"),NA())</f>
        <v>0</v>
      </c>
      <c r="H264" s="60">
        <f>IF(egcs_year_ship2&lt;=H$2,-capex_ship2*10^6+SUMIF($D242:H242,"&lt;&gt;#N/A"),NA())</f>
        <v>0</v>
      </c>
      <c r="I264" s="60">
        <f>IF(egcs_year_ship2&lt;=I$2,-capex_ship2*10^6+SUMIF($D242:I242,"&lt;&gt;#N/A"),NA())</f>
        <v>0</v>
      </c>
      <c r="J264" s="60">
        <f>IF(egcs_year_ship2&lt;=J$2,-capex_ship2*10^6+SUMIF($D242:J242,"&lt;&gt;#N/A"),NA())</f>
        <v>0</v>
      </c>
      <c r="K264" s="60">
        <f>IF(egcs_year_ship2&lt;=K$2,-capex_ship2*10^6+SUMIF($D242:K242,"&lt;&gt;#N/A"),NA())</f>
        <v>0</v>
      </c>
      <c r="L264" s="60">
        <f>IF(egcs_year_ship2&lt;=L$2,-capex_ship2*10^6+SUMIF($D242:L242,"&lt;&gt;#N/A"),NA())</f>
        <v>0</v>
      </c>
      <c r="M264" s="60">
        <f>IF(egcs_year_ship2&lt;=M$2,-capex_ship2*10^6+SUMIF($D242:M242,"&lt;&gt;#N/A"),NA())</f>
        <v>0</v>
      </c>
      <c r="N264" s="60">
        <f>IF(egcs_year_ship2&lt;=N$2,-capex_ship2*10^6+SUMIF($D242:N242,"&lt;&gt;#N/A"),NA())</f>
        <v>0</v>
      </c>
      <c r="O264" s="60">
        <f>IF(egcs_year_ship2&lt;=O$2,-capex_ship2*10^6+SUMIF($D242:O242,"&lt;&gt;#N/A"),NA())</f>
        <v>0</v>
      </c>
      <c r="P264" s="60">
        <f>IF(egcs_year_ship2&lt;=P$2,-capex_ship2*10^6+SUMIF($D242:P242,"&lt;&gt;#N/A"),NA())</f>
        <v>0</v>
      </c>
      <c r="Q264" s="60">
        <f>IF(egcs_year_ship2&lt;=Q$2,-capex_ship2*10^6+SUMIF($D242:Q242,"&lt;&gt;#N/A"),NA())</f>
        <v>0</v>
      </c>
      <c r="R264" s="60">
        <f>IF(egcs_year_ship2&lt;=R$2,-capex_ship2*10^6+SUMIF($D242:R242,"&lt;&gt;#N/A"),NA())</f>
        <v>0</v>
      </c>
      <c r="S264" s="60">
        <f>IF(egcs_year_ship2&lt;=S$2,-capex_ship2*10^6+SUMIF($D242:S242,"&lt;&gt;#N/A"),NA())</f>
        <v>0</v>
      </c>
      <c r="T264" s="60">
        <f>IF(egcs_year_ship2&lt;=T$2,-capex_ship2*10^6+SUMIF($D242:T242,"&lt;&gt;#N/A"),NA())</f>
        <v>0</v>
      </c>
      <c r="U264" s="60">
        <f>IF(egcs_year_ship2&lt;=U$2,-capex_ship2*10^6+SUMIF($D242:U242,"&lt;&gt;#N/A"),NA())</f>
        <v>0</v>
      </c>
      <c r="V264" s="60">
        <f>IF(egcs_year_ship2&lt;=V$2,-capex_ship2*10^6+SUMIF($D242:V242,"&lt;&gt;#N/A"),NA())</f>
        <v>0</v>
      </c>
      <c r="W264" s="60">
        <f>IF(egcs_year_ship2&lt;=W$2,-capex_ship2*10^6+SUMIF($D242:W242,"&lt;&gt;#N/A"),NA())</f>
        <v>0</v>
      </c>
      <c r="X264" s="60">
        <f>IF(egcs_year_ship2&lt;=X$2,-capex_ship2*10^6+SUMIF($D242:X242,"&lt;&gt;#N/A"),NA())</f>
        <v>0</v>
      </c>
      <c r="Y264" s="60">
        <f>IF(egcs_year_ship2&lt;=Y$2,-capex_ship2*10^6+SUMIF($D242:Y242,"&lt;&gt;#N/A"),NA())</f>
        <v>0</v>
      </c>
      <c r="Z264" s="60">
        <f>IF(egcs_year_ship2&lt;=Z$2,-capex_ship2*10^6+SUMIF($D242:Z242,"&lt;&gt;#N/A"),NA())</f>
        <v>0</v>
      </c>
      <c r="AB264" s="61">
        <f t="shared" si="262"/>
        <v>0</v>
      </c>
      <c r="AC264" s="60">
        <f t="shared" si="263"/>
        <v>0</v>
      </c>
      <c r="AD264" s="62">
        <f t="shared" si="264"/>
        <v>0</v>
      </c>
    </row>
    <row r="265" spans="1:32" x14ac:dyDescent="0.2">
      <c r="A265" s="265"/>
      <c r="B265" s="248"/>
      <c r="C265" s="30" t="s">
        <v>19</v>
      </c>
      <c r="D265" s="63">
        <f>IF(egcs_year_ship2&lt;=D$2,-capex_ship2*10^6+SUMIF($D243:D243,"&lt;&gt;#N/A"),NA())</f>
        <v>0</v>
      </c>
      <c r="E265" s="63">
        <f>IF(egcs_year_ship2&lt;=E$2,-capex_ship2*10^6+SUMIF($D243:E243,"&lt;&gt;#N/A"),NA())</f>
        <v>0</v>
      </c>
      <c r="F265" s="63">
        <f>IF(egcs_year_ship2&lt;=F$2,-capex_ship2*10^6+SUMIF($D243:F243,"&lt;&gt;#N/A"),NA())</f>
        <v>0</v>
      </c>
      <c r="G265" s="63">
        <f>IF(egcs_year_ship2&lt;=G$2,-capex_ship2*10^6+SUMIF($D243:G243,"&lt;&gt;#N/A"),NA())</f>
        <v>0</v>
      </c>
      <c r="H265" s="63">
        <f>IF(egcs_year_ship2&lt;=H$2,-capex_ship2*10^6+SUMIF($D243:H243,"&lt;&gt;#N/A"),NA())</f>
        <v>0</v>
      </c>
      <c r="I265" s="63">
        <f>IF(egcs_year_ship2&lt;=I$2,-capex_ship2*10^6+SUMIF($D243:I243,"&lt;&gt;#N/A"),NA())</f>
        <v>0</v>
      </c>
      <c r="J265" s="63">
        <f>IF(egcs_year_ship2&lt;=J$2,-capex_ship2*10^6+SUMIF($D243:J243,"&lt;&gt;#N/A"),NA())</f>
        <v>0</v>
      </c>
      <c r="K265" s="63">
        <f>IF(egcs_year_ship2&lt;=K$2,-capex_ship2*10^6+SUMIF($D243:K243,"&lt;&gt;#N/A"),NA())</f>
        <v>0</v>
      </c>
      <c r="L265" s="63">
        <f>IF(egcs_year_ship2&lt;=L$2,-capex_ship2*10^6+SUMIF($D243:L243,"&lt;&gt;#N/A"),NA())</f>
        <v>0</v>
      </c>
      <c r="M265" s="63">
        <f>IF(egcs_year_ship2&lt;=M$2,-capex_ship2*10^6+SUMIF($D243:M243,"&lt;&gt;#N/A"),NA())</f>
        <v>0</v>
      </c>
      <c r="N265" s="63">
        <f>IF(egcs_year_ship2&lt;=N$2,-capex_ship2*10^6+SUMIF($D243:N243,"&lt;&gt;#N/A"),NA())</f>
        <v>0</v>
      </c>
      <c r="O265" s="63">
        <f>IF(egcs_year_ship2&lt;=O$2,-capex_ship2*10^6+SUMIF($D243:O243,"&lt;&gt;#N/A"),NA())</f>
        <v>0</v>
      </c>
      <c r="P265" s="63">
        <f>IF(egcs_year_ship2&lt;=P$2,-capex_ship2*10^6+SUMIF($D243:P243,"&lt;&gt;#N/A"),NA())</f>
        <v>0</v>
      </c>
      <c r="Q265" s="63">
        <f>IF(egcs_year_ship2&lt;=Q$2,-capex_ship2*10^6+SUMIF($D243:Q243,"&lt;&gt;#N/A"),NA())</f>
        <v>0</v>
      </c>
      <c r="R265" s="63">
        <f>IF(egcs_year_ship2&lt;=R$2,-capex_ship2*10^6+SUMIF($D243:R243,"&lt;&gt;#N/A"),NA())</f>
        <v>0</v>
      </c>
      <c r="S265" s="63">
        <f>IF(egcs_year_ship2&lt;=S$2,-capex_ship2*10^6+SUMIF($D243:S243,"&lt;&gt;#N/A"),NA())</f>
        <v>0</v>
      </c>
      <c r="T265" s="63">
        <f>IF(egcs_year_ship2&lt;=T$2,-capex_ship2*10^6+SUMIF($D243:T243,"&lt;&gt;#N/A"),NA())</f>
        <v>0</v>
      </c>
      <c r="U265" s="63">
        <f>IF(egcs_year_ship2&lt;=U$2,-capex_ship2*10^6+SUMIF($D243:U243,"&lt;&gt;#N/A"),NA())</f>
        <v>0</v>
      </c>
      <c r="V265" s="63">
        <f>IF(egcs_year_ship2&lt;=V$2,-capex_ship2*10^6+SUMIF($D243:V243,"&lt;&gt;#N/A"),NA())</f>
        <v>0</v>
      </c>
      <c r="W265" s="63">
        <f>IF(egcs_year_ship2&lt;=W$2,-capex_ship2*10^6+SUMIF($D243:W243,"&lt;&gt;#N/A"),NA())</f>
        <v>0</v>
      </c>
      <c r="X265" s="63">
        <f>IF(egcs_year_ship2&lt;=X$2,-capex_ship2*10^6+SUMIF($D243:X243,"&lt;&gt;#N/A"),NA())</f>
        <v>0</v>
      </c>
      <c r="Y265" s="63">
        <f>IF(egcs_year_ship2&lt;=Y$2,-capex_ship2*10^6+SUMIF($D243:Y243,"&lt;&gt;#N/A"),NA())</f>
        <v>0</v>
      </c>
      <c r="Z265" s="63">
        <f>IF(egcs_year_ship2&lt;=Z$2,-capex_ship2*10^6+SUMIF($D243:Z243,"&lt;&gt;#N/A"),NA())</f>
        <v>0</v>
      </c>
      <c r="AB265" s="64">
        <f t="shared" si="262"/>
        <v>0</v>
      </c>
      <c r="AC265" s="63">
        <f t="shared" si="263"/>
        <v>0</v>
      </c>
      <c r="AD265" s="65">
        <f t="shared" si="264"/>
        <v>0</v>
      </c>
    </row>
    <row r="266" spans="1:32" x14ac:dyDescent="0.2">
      <c r="A266" s="265"/>
      <c r="B266" s="248">
        <f>ship3</f>
        <v>0</v>
      </c>
      <c r="C266" s="30" t="s">
        <v>17</v>
      </c>
      <c r="D266" s="56">
        <f>IF(egcs_year_ship3&lt;=D$2,-capex_ship3*10^6+SUMIF($D244:D244,"&lt;&gt;#N/A"),NA())</f>
        <v>0</v>
      </c>
      <c r="E266" s="56">
        <f>IF(egcs_year_ship3&lt;=E$2,-capex_ship3*10^6+SUMIF($D244:E244,"&lt;&gt;#N/A"),NA())</f>
        <v>0</v>
      </c>
      <c r="F266" s="56">
        <f>IF(egcs_year_ship3&lt;=F$2,-capex_ship3*10^6+SUMIF($D244:F244,"&lt;&gt;#N/A"),NA())</f>
        <v>0</v>
      </c>
      <c r="G266" s="56">
        <f>IF(egcs_year_ship3&lt;=G$2,-capex_ship3*10^6+SUMIF($D244:G244,"&lt;&gt;#N/A"),NA())</f>
        <v>0</v>
      </c>
      <c r="H266" s="56">
        <f>IF(egcs_year_ship3&lt;=H$2,-capex_ship3*10^6+SUMIF($D244:H244,"&lt;&gt;#N/A"),NA())</f>
        <v>0</v>
      </c>
      <c r="I266" s="56">
        <f>IF(egcs_year_ship3&lt;=I$2,-capex_ship3*10^6+SUMIF($D244:I244,"&lt;&gt;#N/A"),NA())</f>
        <v>0</v>
      </c>
      <c r="J266" s="56">
        <f>IF(egcs_year_ship3&lt;=J$2,-capex_ship3*10^6+SUMIF($D244:J244,"&lt;&gt;#N/A"),NA())</f>
        <v>0</v>
      </c>
      <c r="K266" s="56">
        <f>IF(egcs_year_ship3&lt;=K$2,-capex_ship3*10^6+SUMIF($D244:K244,"&lt;&gt;#N/A"),NA())</f>
        <v>0</v>
      </c>
      <c r="L266" s="56">
        <f>IF(egcs_year_ship3&lt;=L$2,-capex_ship3*10^6+SUMIF($D244:L244,"&lt;&gt;#N/A"),NA())</f>
        <v>0</v>
      </c>
      <c r="M266" s="56">
        <f>IF(egcs_year_ship3&lt;=M$2,-capex_ship3*10^6+SUMIF($D244:M244,"&lt;&gt;#N/A"),NA())</f>
        <v>0</v>
      </c>
      <c r="N266" s="56">
        <f>IF(egcs_year_ship3&lt;=N$2,-capex_ship3*10^6+SUMIF($D244:N244,"&lt;&gt;#N/A"),NA())</f>
        <v>0</v>
      </c>
      <c r="O266" s="56">
        <f>IF(egcs_year_ship3&lt;=O$2,-capex_ship3*10^6+SUMIF($D244:O244,"&lt;&gt;#N/A"),NA())</f>
        <v>0</v>
      </c>
      <c r="P266" s="56">
        <f>IF(egcs_year_ship3&lt;=P$2,-capex_ship3*10^6+SUMIF($D244:P244,"&lt;&gt;#N/A"),NA())</f>
        <v>0</v>
      </c>
      <c r="Q266" s="56">
        <f>IF(egcs_year_ship3&lt;=Q$2,-capex_ship3*10^6+SUMIF($D244:Q244,"&lt;&gt;#N/A"),NA())</f>
        <v>0</v>
      </c>
      <c r="R266" s="56">
        <f>IF(egcs_year_ship3&lt;=R$2,-capex_ship3*10^6+SUMIF($D244:R244,"&lt;&gt;#N/A"),NA())</f>
        <v>0</v>
      </c>
      <c r="S266" s="56">
        <f>IF(egcs_year_ship3&lt;=S$2,-capex_ship3*10^6+SUMIF($D244:S244,"&lt;&gt;#N/A"),NA())</f>
        <v>0</v>
      </c>
      <c r="T266" s="56">
        <f>IF(egcs_year_ship3&lt;=T$2,-capex_ship3*10^6+SUMIF($D244:T244,"&lt;&gt;#N/A"),NA())</f>
        <v>0</v>
      </c>
      <c r="U266" s="56">
        <f>IF(egcs_year_ship3&lt;=U$2,-capex_ship3*10^6+SUMIF($D244:U244,"&lt;&gt;#N/A"),NA())</f>
        <v>0</v>
      </c>
      <c r="V266" s="56">
        <f>IF(egcs_year_ship3&lt;=V$2,-capex_ship3*10^6+SUMIF($D244:V244,"&lt;&gt;#N/A"),NA())</f>
        <v>0</v>
      </c>
      <c r="W266" s="56">
        <f>IF(egcs_year_ship3&lt;=W$2,-capex_ship3*10^6+SUMIF($D244:W244,"&lt;&gt;#N/A"),NA())</f>
        <v>0</v>
      </c>
      <c r="X266" s="56">
        <f>IF(egcs_year_ship3&lt;=X$2,-capex_ship3*10^6+SUMIF($D244:X244,"&lt;&gt;#N/A"),NA())</f>
        <v>0</v>
      </c>
      <c r="Y266" s="56">
        <f>IF(egcs_year_ship3&lt;=Y$2,-capex_ship3*10^6+SUMIF($D244:Y244,"&lt;&gt;#N/A"),NA())</f>
        <v>0</v>
      </c>
      <c r="Z266" s="56">
        <f>IF(egcs_year_ship3&lt;=Z$2,-capex_ship3*10^6+SUMIF($D244:Z244,"&lt;&gt;#N/A"),NA())</f>
        <v>0</v>
      </c>
      <c r="AB266" s="66">
        <f t="shared" si="262"/>
        <v>0</v>
      </c>
      <c r="AC266" s="56">
        <f t="shared" si="263"/>
        <v>0</v>
      </c>
      <c r="AD266" s="67">
        <f t="shared" si="264"/>
        <v>0</v>
      </c>
    </row>
    <row r="267" spans="1:32" x14ac:dyDescent="0.2">
      <c r="A267" s="265"/>
      <c r="B267" s="248"/>
      <c r="C267" s="30" t="s">
        <v>18</v>
      </c>
      <c r="D267" s="60">
        <f>IF(egcs_year_ship3&lt;=D$2,-capex_ship3*10^6+SUMIF($D245:D245,"&lt;&gt;#N/A"),NA())</f>
        <v>0</v>
      </c>
      <c r="E267" s="60">
        <f>IF(egcs_year_ship3&lt;=E$2,-capex_ship3*10^6+SUMIF($D245:E245,"&lt;&gt;#N/A"),NA())</f>
        <v>0</v>
      </c>
      <c r="F267" s="60">
        <f>IF(egcs_year_ship3&lt;=F$2,-capex_ship3*10^6+SUMIF($D245:F245,"&lt;&gt;#N/A"),NA())</f>
        <v>0</v>
      </c>
      <c r="G267" s="60">
        <f>IF(egcs_year_ship3&lt;=G$2,-capex_ship3*10^6+SUMIF($D245:G245,"&lt;&gt;#N/A"),NA())</f>
        <v>0</v>
      </c>
      <c r="H267" s="60">
        <f>IF(egcs_year_ship3&lt;=H$2,-capex_ship3*10^6+SUMIF($D245:H245,"&lt;&gt;#N/A"),NA())</f>
        <v>0</v>
      </c>
      <c r="I267" s="60">
        <f>IF(egcs_year_ship3&lt;=I$2,-capex_ship3*10^6+SUMIF($D245:I245,"&lt;&gt;#N/A"),NA())</f>
        <v>0</v>
      </c>
      <c r="J267" s="60">
        <f>IF(egcs_year_ship3&lt;=J$2,-capex_ship3*10^6+SUMIF($D245:J245,"&lt;&gt;#N/A"),NA())</f>
        <v>0</v>
      </c>
      <c r="K267" s="60">
        <f>IF(egcs_year_ship3&lt;=K$2,-capex_ship3*10^6+SUMIF($D245:K245,"&lt;&gt;#N/A"),NA())</f>
        <v>0</v>
      </c>
      <c r="L267" s="60">
        <f>IF(egcs_year_ship3&lt;=L$2,-capex_ship3*10^6+SUMIF($D245:L245,"&lt;&gt;#N/A"),NA())</f>
        <v>0</v>
      </c>
      <c r="M267" s="60">
        <f>IF(egcs_year_ship3&lt;=M$2,-capex_ship3*10^6+SUMIF($D245:M245,"&lt;&gt;#N/A"),NA())</f>
        <v>0</v>
      </c>
      <c r="N267" s="60">
        <f>IF(egcs_year_ship3&lt;=N$2,-capex_ship3*10^6+SUMIF($D245:N245,"&lt;&gt;#N/A"),NA())</f>
        <v>0</v>
      </c>
      <c r="O267" s="60">
        <f>IF(egcs_year_ship3&lt;=O$2,-capex_ship3*10^6+SUMIF($D245:O245,"&lt;&gt;#N/A"),NA())</f>
        <v>0</v>
      </c>
      <c r="P267" s="60">
        <f>IF(egcs_year_ship3&lt;=P$2,-capex_ship3*10^6+SUMIF($D245:P245,"&lt;&gt;#N/A"),NA())</f>
        <v>0</v>
      </c>
      <c r="Q267" s="60">
        <f>IF(egcs_year_ship3&lt;=Q$2,-capex_ship3*10^6+SUMIF($D245:Q245,"&lt;&gt;#N/A"),NA())</f>
        <v>0</v>
      </c>
      <c r="R267" s="60">
        <f>IF(egcs_year_ship3&lt;=R$2,-capex_ship3*10^6+SUMIF($D245:R245,"&lt;&gt;#N/A"),NA())</f>
        <v>0</v>
      </c>
      <c r="S267" s="60">
        <f>IF(egcs_year_ship3&lt;=S$2,-capex_ship3*10^6+SUMIF($D245:S245,"&lt;&gt;#N/A"),NA())</f>
        <v>0</v>
      </c>
      <c r="T267" s="60">
        <f>IF(egcs_year_ship3&lt;=T$2,-capex_ship3*10^6+SUMIF($D245:T245,"&lt;&gt;#N/A"),NA())</f>
        <v>0</v>
      </c>
      <c r="U267" s="60">
        <f>IF(egcs_year_ship3&lt;=U$2,-capex_ship3*10^6+SUMIF($D245:U245,"&lt;&gt;#N/A"),NA())</f>
        <v>0</v>
      </c>
      <c r="V267" s="60">
        <f>IF(egcs_year_ship3&lt;=V$2,-capex_ship3*10^6+SUMIF($D245:V245,"&lt;&gt;#N/A"),NA())</f>
        <v>0</v>
      </c>
      <c r="W267" s="60">
        <f>IF(egcs_year_ship3&lt;=W$2,-capex_ship3*10^6+SUMIF($D245:W245,"&lt;&gt;#N/A"),NA())</f>
        <v>0</v>
      </c>
      <c r="X267" s="60">
        <f>IF(egcs_year_ship3&lt;=X$2,-capex_ship3*10^6+SUMIF($D245:X245,"&lt;&gt;#N/A"),NA())</f>
        <v>0</v>
      </c>
      <c r="Y267" s="60">
        <f>IF(egcs_year_ship3&lt;=Y$2,-capex_ship3*10^6+SUMIF($D245:Y245,"&lt;&gt;#N/A"),NA())</f>
        <v>0</v>
      </c>
      <c r="Z267" s="60">
        <f>IF(egcs_year_ship3&lt;=Z$2,-capex_ship3*10^6+SUMIF($D245:Z245,"&lt;&gt;#N/A"),NA())</f>
        <v>0</v>
      </c>
      <c r="AB267" s="61">
        <f t="shared" si="262"/>
        <v>0</v>
      </c>
      <c r="AC267" s="60">
        <f t="shared" si="263"/>
        <v>0</v>
      </c>
      <c r="AD267" s="62">
        <f t="shared" si="264"/>
        <v>0</v>
      </c>
    </row>
    <row r="268" spans="1:32" x14ac:dyDescent="0.2">
      <c r="A268" s="265"/>
      <c r="B268" s="248"/>
      <c r="C268" s="30" t="s">
        <v>19</v>
      </c>
      <c r="D268" s="63">
        <f>IF(egcs_year_ship3&lt;=D$2,-capex_ship3*10^6+SUMIF($D246:D246,"&lt;&gt;#N/A"),NA())</f>
        <v>0</v>
      </c>
      <c r="E268" s="63">
        <f>IF(egcs_year_ship3&lt;=E$2,-capex_ship3*10^6+SUMIF($D246:E246,"&lt;&gt;#N/A"),NA())</f>
        <v>0</v>
      </c>
      <c r="F268" s="63">
        <f>IF(egcs_year_ship3&lt;=F$2,-capex_ship3*10^6+SUMIF($D246:F246,"&lt;&gt;#N/A"),NA())</f>
        <v>0</v>
      </c>
      <c r="G268" s="63">
        <f>IF(egcs_year_ship3&lt;=G$2,-capex_ship3*10^6+SUMIF($D246:G246,"&lt;&gt;#N/A"),NA())</f>
        <v>0</v>
      </c>
      <c r="H268" s="63">
        <f>IF(egcs_year_ship3&lt;=H$2,-capex_ship3*10^6+SUMIF($D246:H246,"&lt;&gt;#N/A"),NA())</f>
        <v>0</v>
      </c>
      <c r="I268" s="63">
        <f>IF(egcs_year_ship3&lt;=I$2,-capex_ship3*10^6+SUMIF($D246:I246,"&lt;&gt;#N/A"),NA())</f>
        <v>0</v>
      </c>
      <c r="J268" s="63">
        <f>IF(egcs_year_ship3&lt;=J$2,-capex_ship3*10^6+SUMIF($D246:J246,"&lt;&gt;#N/A"),NA())</f>
        <v>0</v>
      </c>
      <c r="K268" s="63">
        <f>IF(egcs_year_ship3&lt;=K$2,-capex_ship3*10^6+SUMIF($D246:K246,"&lt;&gt;#N/A"),NA())</f>
        <v>0</v>
      </c>
      <c r="L268" s="63">
        <f>IF(egcs_year_ship3&lt;=L$2,-capex_ship3*10^6+SUMIF($D246:L246,"&lt;&gt;#N/A"),NA())</f>
        <v>0</v>
      </c>
      <c r="M268" s="63">
        <f>IF(egcs_year_ship3&lt;=M$2,-capex_ship3*10^6+SUMIF($D246:M246,"&lt;&gt;#N/A"),NA())</f>
        <v>0</v>
      </c>
      <c r="N268" s="63">
        <f>IF(egcs_year_ship3&lt;=N$2,-capex_ship3*10^6+SUMIF($D246:N246,"&lt;&gt;#N/A"),NA())</f>
        <v>0</v>
      </c>
      <c r="O268" s="63">
        <f>IF(egcs_year_ship3&lt;=O$2,-capex_ship3*10^6+SUMIF($D246:O246,"&lt;&gt;#N/A"),NA())</f>
        <v>0</v>
      </c>
      <c r="P268" s="63">
        <f>IF(egcs_year_ship3&lt;=P$2,-capex_ship3*10^6+SUMIF($D246:P246,"&lt;&gt;#N/A"),NA())</f>
        <v>0</v>
      </c>
      <c r="Q268" s="63">
        <f>IF(egcs_year_ship3&lt;=Q$2,-capex_ship3*10^6+SUMIF($D246:Q246,"&lt;&gt;#N/A"),NA())</f>
        <v>0</v>
      </c>
      <c r="R268" s="63">
        <f>IF(egcs_year_ship3&lt;=R$2,-capex_ship3*10^6+SUMIF($D246:R246,"&lt;&gt;#N/A"),NA())</f>
        <v>0</v>
      </c>
      <c r="S268" s="63">
        <f>IF(egcs_year_ship3&lt;=S$2,-capex_ship3*10^6+SUMIF($D246:S246,"&lt;&gt;#N/A"),NA())</f>
        <v>0</v>
      </c>
      <c r="T268" s="63">
        <f>IF(egcs_year_ship3&lt;=T$2,-capex_ship3*10^6+SUMIF($D246:T246,"&lt;&gt;#N/A"),NA())</f>
        <v>0</v>
      </c>
      <c r="U268" s="63">
        <f>IF(egcs_year_ship3&lt;=U$2,-capex_ship3*10^6+SUMIF($D246:U246,"&lt;&gt;#N/A"),NA())</f>
        <v>0</v>
      </c>
      <c r="V268" s="63">
        <f>IF(egcs_year_ship3&lt;=V$2,-capex_ship3*10^6+SUMIF($D246:V246,"&lt;&gt;#N/A"),NA())</f>
        <v>0</v>
      </c>
      <c r="W268" s="63">
        <f>IF(egcs_year_ship3&lt;=W$2,-capex_ship3*10^6+SUMIF($D246:W246,"&lt;&gt;#N/A"),NA())</f>
        <v>0</v>
      </c>
      <c r="X268" s="63">
        <f>IF(egcs_year_ship3&lt;=X$2,-capex_ship3*10^6+SUMIF($D246:X246,"&lt;&gt;#N/A"),NA())</f>
        <v>0</v>
      </c>
      <c r="Y268" s="63">
        <f>IF(egcs_year_ship3&lt;=Y$2,-capex_ship3*10^6+SUMIF($D246:Y246,"&lt;&gt;#N/A"),NA())</f>
        <v>0</v>
      </c>
      <c r="Z268" s="63">
        <f>IF(egcs_year_ship3&lt;=Z$2,-capex_ship3*10^6+SUMIF($D246:Z246,"&lt;&gt;#N/A"),NA())</f>
        <v>0</v>
      </c>
      <c r="AB268" s="64">
        <f t="shared" si="262"/>
        <v>0</v>
      </c>
      <c r="AC268" s="63">
        <f t="shared" si="263"/>
        <v>0</v>
      </c>
      <c r="AD268" s="65">
        <f t="shared" si="264"/>
        <v>0</v>
      </c>
    </row>
    <row r="269" spans="1:32" x14ac:dyDescent="0.2">
      <c r="A269" s="265"/>
      <c r="B269" s="248">
        <f>ship4</f>
        <v>0</v>
      </c>
      <c r="C269" s="30" t="s">
        <v>17</v>
      </c>
      <c r="D269" s="56">
        <f>IF(egcs_year_ship4&lt;=D$2,-capex_ship4*10^6+SUMIF($D247:D247,"&lt;&gt;#N/A"),NA())</f>
        <v>0</v>
      </c>
      <c r="E269" s="56">
        <f>IF(egcs_year_ship4&lt;=E$2,-capex_ship4*10^6+SUMIF($D247:E247,"&lt;&gt;#N/A"),NA())</f>
        <v>0</v>
      </c>
      <c r="F269" s="56">
        <f>IF(egcs_year_ship4&lt;=F$2,-capex_ship4*10^6+SUMIF($D247:F247,"&lt;&gt;#N/A"),NA())</f>
        <v>0</v>
      </c>
      <c r="G269" s="56">
        <f>IF(egcs_year_ship4&lt;=G$2,-capex_ship4*10^6+SUMIF($D247:G247,"&lt;&gt;#N/A"),NA())</f>
        <v>0</v>
      </c>
      <c r="H269" s="56">
        <f>IF(egcs_year_ship4&lt;=H$2,-capex_ship4*10^6+SUMIF($D247:H247,"&lt;&gt;#N/A"),NA())</f>
        <v>0</v>
      </c>
      <c r="I269" s="56">
        <f>IF(egcs_year_ship4&lt;=I$2,-capex_ship4*10^6+SUMIF($D247:I247,"&lt;&gt;#N/A"),NA())</f>
        <v>0</v>
      </c>
      <c r="J269" s="56">
        <f>IF(egcs_year_ship4&lt;=J$2,-capex_ship4*10^6+SUMIF($D247:J247,"&lt;&gt;#N/A"),NA())</f>
        <v>0</v>
      </c>
      <c r="K269" s="56">
        <f>IF(egcs_year_ship4&lt;=K$2,-capex_ship4*10^6+SUMIF($D247:K247,"&lt;&gt;#N/A"),NA())</f>
        <v>0</v>
      </c>
      <c r="L269" s="56">
        <f>IF(egcs_year_ship4&lt;=L$2,-capex_ship4*10^6+SUMIF($D247:L247,"&lt;&gt;#N/A"),NA())</f>
        <v>0</v>
      </c>
      <c r="M269" s="56">
        <f>IF(egcs_year_ship4&lt;=M$2,-capex_ship4*10^6+SUMIF($D247:M247,"&lt;&gt;#N/A"),NA())</f>
        <v>0</v>
      </c>
      <c r="N269" s="56">
        <f>IF(egcs_year_ship4&lt;=N$2,-capex_ship4*10^6+SUMIF($D247:N247,"&lt;&gt;#N/A"),NA())</f>
        <v>0</v>
      </c>
      <c r="O269" s="56">
        <f>IF(egcs_year_ship4&lt;=O$2,-capex_ship4*10^6+SUMIF($D247:O247,"&lt;&gt;#N/A"),NA())</f>
        <v>0</v>
      </c>
      <c r="P269" s="56">
        <f>IF(egcs_year_ship4&lt;=P$2,-capex_ship4*10^6+SUMIF($D247:P247,"&lt;&gt;#N/A"),NA())</f>
        <v>0</v>
      </c>
      <c r="Q269" s="56">
        <f>IF(egcs_year_ship4&lt;=Q$2,-capex_ship4*10^6+SUMIF($D247:Q247,"&lt;&gt;#N/A"),NA())</f>
        <v>0</v>
      </c>
      <c r="R269" s="56">
        <f>IF(egcs_year_ship4&lt;=R$2,-capex_ship4*10^6+SUMIF($D247:R247,"&lt;&gt;#N/A"),NA())</f>
        <v>0</v>
      </c>
      <c r="S269" s="56">
        <f>IF(egcs_year_ship4&lt;=S$2,-capex_ship4*10^6+SUMIF($D247:S247,"&lt;&gt;#N/A"),NA())</f>
        <v>0</v>
      </c>
      <c r="T269" s="56">
        <f>IF(egcs_year_ship4&lt;=T$2,-capex_ship4*10^6+SUMIF($D247:T247,"&lt;&gt;#N/A"),NA())</f>
        <v>0</v>
      </c>
      <c r="U269" s="56">
        <f>IF(egcs_year_ship4&lt;=U$2,-capex_ship4*10^6+SUMIF($D247:U247,"&lt;&gt;#N/A"),NA())</f>
        <v>0</v>
      </c>
      <c r="V269" s="56">
        <f>IF(egcs_year_ship4&lt;=V$2,-capex_ship4*10^6+SUMIF($D247:V247,"&lt;&gt;#N/A"),NA())</f>
        <v>0</v>
      </c>
      <c r="W269" s="56">
        <f>IF(egcs_year_ship4&lt;=W$2,-capex_ship4*10^6+SUMIF($D247:W247,"&lt;&gt;#N/A"),NA())</f>
        <v>0</v>
      </c>
      <c r="X269" s="56">
        <f>IF(egcs_year_ship4&lt;=X$2,-capex_ship4*10^6+SUMIF($D247:X247,"&lt;&gt;#N/A"),NA())</f>
        <v>0</v>
      </c>
      <c r="Y269" s="56">
        <f>IF(egcs_year_ship4&lt;=Y$2,-capex_ship4*10^6+SUMIF($D247:Y247,"&lt;&gt;#N/A"),NA())</f>
        <v>0</v>
      </c>
      <c r="Z269" s="56">
        <f>IF(egcs_year_ship4&lt;=Z$2,-capex_ship4*10^6+SUMIF($D247:Z247,"&lt;&gt;#N/A"),NA())</f>
        <v>0</v>
      </c>
      <c r="AB269" s="66">
        <f t="shared" si="262"/>
        <v>0</v>
      </c>
      <c r="AC269" s="56">
        <f t="shared" si="263"/>
        <v>0</v>
      </c>
      <c r="AD269" s="67">
        <f t="shared" si="264"/>
        <v>0</v>
      </c>
    </row>
    <row r="270" spans="1:32" x14ac:dyDescent="0.2">
      <c r="A270" s="265"/>
      <c r="B270" s="248"/>
      <c r="C270" s="30" t="s">
        <v>18</v>
      </c>
      <c r="D270" s="60">
        <f>IF(egcs_year_ship4&lt;=D$2,-capex_ship4*10^6+SUMIF($D248:D248,"&lt;&gt;#N/A"),NA())</f>
        <v>0</v>
      </c>
      <c r="E270" s="60">
        <f>IF(egcs_year_ship4&lt;=E$2,-capex_ship4*10^6+SUMIF($D248:E248,"&lt;&gt;#N/A"),NA())</f>
        <v>0</v>
      </c>
      <c r="F270" s="60">
        <f>IF(egcs_year_ship4&lt;=F$2,-capex_ship4*10^6+SUMIF($D248:F248,"&lt;&gt;#N/A"),NA())</f>
        <v>0</v>
      </c>
      <c r="G270" s="60">
        <f>IF(egcs_year_ship4&lt;=G$2,-capex_ship4*10^6+SUMIF($D248:G248,"&lt;&gt;#N/A"),NA())</f>
        <v>0</v>
      </c>
      <c r="H270" s="60">
        <f>IF(egcs_year_ship4&lt;=H$2,-capex_ship4*10^6+SUMIF($D248:H248,"&lt;&gt;#N/A"),NA())</f>
        <v>0</v>
      </c>
      <c r="I270" s="60">
        <f>IF(egcs_year_ship4&lt;=I$2,-capex_ship4*10^6+SUMIF($D248:I248,"&lt;&gt;#N/A"),NA())</f>
        <v>0</v>
      </c>
      <c r="J270" s="60">
        <f>IF(egcs_year_ship4&lt;=J$2,-capex_ship4*10^6+SUMIF($D248:J248,"&lt;&gt;#N/A"),NA())</f>
        <v>0</v>
      </c>
      <c r="K270" s="60">
        <f>IF(egcs_year_ship4&lt;=K$2,-capex_ship4*10^6+SUMIF($D248:K248,"&lt;&gt;#N/A"),NA())</f>
        <v>0</v>
      </c>
      <c r="L270" s="60">
        <f>IF(egcs_year_ship4&lt;=L$2,-capex_ship4*10^6+SUMIF($D248:L248,"&lt;&gt;#N/A"),NA())</f>
        <v>0</v>
      </c>
      <c r="M270" s="60">
        <f>IF(egcs_year_ship4&lt;=M$2,-capex_ship4*10^6+SUMIF($D248:M248,"&lt;&gt;#N/A"),NA())</f>
        <v>0</v>
      </c>
      <c r="N270" s="60">
        <f>IF(egcs_year_ship4&lt;=N$2,-capex_ship4*10^6+SUMIF($D248:N248,"&lt;&gt;#N/A"),NA())</f>
        <v>0</v>
      </c>
      <c r="O270" s="60">
        <f>IF(egcs_year_ship4&lt;=O$2,-capex_ship4*10^6+SUMIF($D248:O248,"&lt;&gt;#N/A"),NA())</f>
        <v>0</v>
      </c>
      <c r="P270" s="60">
        <f>IF(egcs_year_ship4&lt;=P$2,-capex_ship4*10^6+SUMIF($D248:P248,"&lt;&gt;#N/A"),NA())</f>
        <v>0</v>
      </c>
      <c r="Q270" s="60">
        <f>IF(egcs_year_ship4&lt;=Q$2,-capex_ship4*10^6+SUMIF($D248:Q248,"&lt;&gt;#N/A"),NA())</f>
        <v>0</v>
      </c>
      <c r="R270" s="60">
        <f>IF(egcs_year_ship4&lt;=R$2,-capex_ship4*10^6+SUMIF($D248:R248,"&lt;&gt;#N/A"),NA())</f>
        <v>0</v>
      </c>
      <c r="S270" s="60">
        <f>IF(egcs_year_ship4&lt;=S$2,-capex_ship4*10^6+SUMIF($D248:S248,"&lt;&gt;#N/A"),NA())</f>
        <v>0</v>
      </c>
      <c r="T270" s="60">
        <f>IF(egcs_year_ship4&lt;=T$2,-capex_ship4*10^6+SUMIF($D248:T248,"&lt;&gt;#N/A"),NA())</f>
        <v>0</v>
      </c>
      <c r="U270" s="60">
        <f>IF(egcs_year_ship4&lt;=U$2,-capex_ship4*10^6+SUMIF($D248:U248,"&lt;&gt;#N/A"),NA())</f>
        <v>0</v>
      </c>
      <c r="V270" s="60">
        <f>IF(egcs_year_ship4&lt;=V$2,-capex_ship4*10^6+SUMIF($D248:V248,"&lt;&gt;#N/A"),NA())</f>
        <v>0</v>
      </c>
      <c r="W270" s="60">
        <f>IF(egcs_year_ship4&lt;=W$2,-capex_ship4*10^6+SUMIF($D248:W248,"&lt;&gt;#N/A"),NA())</f>
        <v>0</v>
      </c>
      <c r="X270" s="60">
        <f>IF(egcs_year_ship4&lt;=X$2,-capex_ship4*10^6+SUMIF($D248:X248,"&lt;&gt;#N/A"),NA())</f>
        <v>0</v>
      </c>
      <c r="Y270" s="60">
        <f>IF(egcs_year_ship4&lt;=Y$2,-capex_ship4*10^6+SUMIF($D248:Y248,"&lt;&gt;#N/A"),NA())</f>
        <v>0</v>
      </c>
      <c r="Z270" s="60">
        <f>IF(egcs_year_ship4&lt;=Z$2,-capex_ship4*10^6+SUMIF($D248:Z248,"&lt;&gt;#N/A"),NA())</f>
        <v>0</v>
      </c>
      <c r="AB270" s="61">
        <f t="shared" si="262"/>
        <v>0</v>
      </c>
      <c r="AC270" s="60">
        <f t="shared" si="263"/>
        <v>0</v>
      </c>
      <c r="AD270" s="62">
        <f t="shared" si="264"/>
        <v>0</v>
      </c>
    </row>
    <row r="271" spans="1:32" x14ac:dyDescent="0.2">
      <c r="A271" s="265"/>
      <c r="B271" s="248"/>
      <c r="C271" s="30" t="s">
        <v>19</v>
      </c>
      <c r="D271" s="63">
        <f>IF(egcs_year_ship4&lt;=D$2,-capex_ship4*10^6+SUMIF($D249:D249,"&lt;&gt;#N/A"),NA())</f>
        <v>0</v>
      </c>
      <c r="E271" s="63">
        <f>IF(egcs_year_ship4&lt;=E$2,-capex_ship4*10^6+SUMIF($D249:E249,"&lt;&gt;#N/A"),NA())</f>
        <v>0</v>
      </c>
      <c r="F271" s="63">
        <f>IF(egcs_year_ship4&lt;=F$2,-capex_ship4*10^6+SUMIF($D249:F249,"&lt;&gt;#N/A"),NA())</f>
        <v>0</v>
      </c>
      <c r="G271" s="63">
        <f>IF(egcs_year_ship4&lt;=G$2,-capex_ship4*10^6+SUMIF($D249:G249,"&lt;&gt;#N/A"),NA())</f>
        <v>0</v>
      </c>
      <c r="H271" s="63">
        <f>IF(egcs_year_ship4&lt;=H$2,-capex_ship4*10^6+SUMIF($D249:H249,"&lt;&gt;#N/A"),NA())</f>
        <v>0</v>
      </c>
      <c r="I271" s="63">
        <f>IF(egcs_year_ship4&lt;=I$2,-capex_ship4*10^6+SUMIF($D249:I249,"&lt;&gt;#N/A"),NA())</f>
        <v>0</v>
      </c>
      <c r="J271" s="63">
        <f>IF(egcs_year_ship4&lt;=J$2,-capex_ship4*10^6+SUMIF($D249:J249,"&lt;&gt;#N/A"),NA())</f>
        <v>0</v>
      </c>
      <c r="K271" s="63">
        <f>IF(egcs_year_ship4&lt;=K$2,-capex_ship4*10^6+SUMIF($D249:K249,"&lt;&gt;#N/A"),NA())</f>
        <v>0</v>
      </c>
      <c r="L271" s="63">
        <f>IF(egcs_year_ship4&lt;=L$2,-capex_ship4*10^6+SUMIF($D249:L249,"&lt;&gt;#N/A"),NA())</f>
        <v>0</v>
      </c>
      <c r="M271" s="63">
        <f>IF(egcs_year_ship4&lt;=M$2,-capex_ship4*10^6+SUMIF($D249:M249,"&lt;&gt;#N/A"),NA())</f>
        <v>0</v>
      </c>
      <c r="N271" s="63">
        <f>IF(egcs_year_ship4&lt;=N$2,-capex_ship4*10^6+SUMIF($D249:N249,"&lt;&gt;#N/A"),NA())</f>
        <v>0</v>
      </c>
      <c r="O271" s="63">
        <f>IF(egcs_year_ship4&lt;=O$2,-capex_ship4*10^6+SUMIF($D249:O249,"&lt;&gt;#N/A"),NA())</f>
        <v>0</v>
      </c>
      <c r="P271" s="63">
        <f>IF(egcs_year_ship4&lt;=P$2,-capex_ship4*10^6+SUMIF($D249:P249,"&lt;&gt;#N/A"),NA())</f>
        <v>0</v>
      </c>
      <c r="Q271" s="63">
        <f>IF(egcs_year_ship4&lt;=Q$2,-capex_ship4*10^6+SUMIF($D249:Q249,"&lt;&gt;#N/A"),NA())</f>
        <v>0</v>
      </c>
      <c r="R271" s="63">
        <f>IF(egcs_year_ship4&lt;=R$2,-capex_ship4*10^6+SUMIF($D249:R249,"&lt;&gt;#N/A"),NA())</f>
        <v>0</v>
      </c>
      <c r="S271" s="63">
        <f>IF(egcs_year_ship4&lt;=S$2,-capex_ship4*10^6+SUMIF($D249:S249,"&lt;&gt;#N/A"),NA())</f>
        <v>0</v>
      </c>
      <c r="T271" s="63">
        <f>IF(egcs_year_ship4&lt;=T$2,-capex_ship4*10^6+SUMIF($D249:T249,"&lt;&gt;#N/A"),NA())</f>
        <v>0</v>
      </c>
      <c r="U271" s="63">
        <f>IF(egcs_year_ship4&lt;=U$2,-capex_ship4*10^6+SUMIF($D249:U249,"&lt;&gt;#N/A"),NA())</f>
        <v>0</v>
      </c>
      <c r="V271" s="63">
        <f>IF(egcs_year_ship4&lt;=V$2,-capex_ship4*10^6+SUMIF($D249:V249,"&lt;&gt;#N/A"),NA())</f>
        <v>0</v>
      </c>
      <c r="W271" s="63">
        <f>IF(egcs_year_ship4&lt;=W$2,-capex_ship4*10^6+SUMIF($D249:W249,"&lt;&gt;#N/A"),NA())</f>
        <v>0</v>
      </c>
      <c r="X271" s="63">
        <f>IF(egcs_year_ship4&lt;=X$2,-capex_ship4*10^6+SUMIF($D249:X249,"&lt;&gt;#N/A"),NA())</f>
        <v>0</v>
      </c>
      <c r="Y271" s="63">
        <f>IF(egcs_year_ship4&lt;=Y$2,-capex_ship4*10^6+SUMIF($D249:Y249,"&lt;&gt;#N/A"),NA())</f>
        <v>0</v>
      </c>
      <c r="Z271" s="63">
        <f>IF(egcs_year_ship4&lt;=Z$2,-capex_ship4*10^6+SUMIF($D249:Z249,"&lt;&gt;#N/A"),NA())</f>
        <v>0</v>
      </c>
      <c r="AB271" s="64">
        <f t="shared" si="262"/>
        <v>0</v>
      </c>
      <c r="AC271" s="63">
        <f t="shared" si="263"/>
        <v>0</v>
      </c>
      <c r="AD271" s="65">
        <f t="shared" si="264"/>
        <v>0</v>
      </c>
    </row>
    <row r="272" spans="1:32" x14ac:dyDescent="0.2">
      <c r="A272" s="265"/>
      <c r="B272" s="248">
        <f>ship5</f>
        <v>0</v>
      </c>
      <c r="C272" s="30" t="s">
        <v>17</v>
      </c>
      <c r="D272" s="56">
        <f>IF(egcs_year_ship5&lt;=D$2,-capex_ship5*10^6+SUMIF($D250:D250,"&lt;&gt;#N/A"),NA())</f>
        <v>0</v>
      </c>
      <c r="E272" s="56">
        <f>IF(egcs_year_ship5&lt;=E$2,-capex_ship5*10^6+SUMIF($D250:E250,"&lt;&gt;#N/A"),NA())</f>
        <v>0</v>
      </c>
      <c r="F272" s="56">
        <f>IF(egcs_year_ship5&lt;=F$2,-capex_ship5*10^6+SUMIF($D250:F250,"&lt;&gt;#N/A"),NA())</f>
        <v>0</v>
      </c>
      <c r="G272" s="56">
        <f>IF(egcs_year_ship5&lt;=G$2,-capex_ship5*10^6+SUMIF($D250:G250,"&lt;&gt;#N/A"),NA())</f>
        <v>0</v>
      </c>
      <c r="H272" s="56">
        <f>IF(egcs_year_ship5&lt;=H$2,-capex_ship5*10^6+SUMIF($D250:H250,"&lt;&gt;#N/A"),NA())</f>
        <v>0</v>
      </c>
      <c r="I272" s="56">
        <f>IF(egcs_year_ship5&lt;=I$2,-capex_ship5*10^6+SUMIF($D250:I250,"&lt;&gt;#N/A"),NA())</f>
        <v>0</v>
      </c>
      <c r="J272" s="56">
        <f>IF(egcs_year_ship5&lt;=J$2,-capex_ship5*10^6+SUMIF($D250:J250,"&lt;&gt;#N/A"),NA())</f>
        <v>0</v>
      </c>
      <c r="K272" s="56">
        <f>IF(egcs_year_ship5&lt;=K$2,-capex_ship5*10^6+SUMIF($D250:K250,"&lt;&gt;#N/A"),NA())</f>
        <v>0</v>
      </c>
      <c r="L272" s="56">
        <f>IF(egcs_year_ship5&lt;=L$2,-capex_ship5*10^6+SUMIF($D250:L250,"&lt;&gt;#N/A"),NA())</f>
        <v>0</v>
      </c>
      <c r="M272" s="56">
        <f>IF(egcs_year_ship5&lt;=M$2,-capex_ship5*10^6+SUMIF($D250:M250,"&lt;&gt;#N/A"),NA())</f>
        <v>0</v>
      </c>
      <c r="N272" s="56">
        <f>IF(egcs_year_ship5&lt;=N$2,-capex_ship5*10^6+SUMIF($D250:N250,"&lt;&gt;#N/A"),NA())</f>
        <v>0</v>
      </c>
      <c r="O272" s="56">
        <f>IF(egcs_year_ship5&lt;=O$2,-capex_ship5*10^6+SUMIF($D250:O250,"&lt;&gt;#N/A"),NA())</f>
        <v>0</v>
      </c>
      <c r="P272" s="56">
        <f>IF(egcs_year_ship5&lt;=P$2,-capex_ship5*10^6+SUMIF($D250:P250,"&lt;&gt;#N/A"),NA())</f>
        <v>0</v>
      </c>
      <c r="Q272" s="56">
        <f>IF(egcs_year_ship5&lt;=Q$2,-capex_ship5*10^6+SUMIF($D250:Q250,"&lt;&gt;#N/A"),NA())</f>
        <v>0</v>
      </c>
      <c r="R272" s="56">
        <f>IF(egcs_year_ship5&lt;=R$2,-capex_ship5*10^6+SUMIF($D250:R250,"&lt;&gt;#N/A"),NA())</f>
        <v>0</v>
      </c>
      <c r="S272" s="56">
        <f>IF(egcs_year_ship5&lt;=S$2,-capex_ship5*10^6+SUMIF($D250:S250,"&lt;&gt;#N/A"),NA())</f>
        <v>0</v>
      </c>
      <c r="T272" s="56">
        <f>IF(egcs_year_ship5&lt;=T$2,-capex_ship5*10^6+SUMIF($D250:T250,"&lt;&gt;#N/A"),NA())</f>
        <v>0</v>
      </c>
      <c r="U272" s="56">
        <f>IF(egcs_year_ship5&lt;=U$2,-capex_ship5*10^6+SUMIF($D250:U250,"&lt;&gt;#N/A"),NA())</f>
        <v>0</v>
      </c>
      <c r="V272" s="56">
        <f>IF(egcs_year_ship5&lt;=V$2,-capex_ship5*10^6+SUMIF($D250:V250,"&lt;&gt;#N/A"),NA())</f>
        <v>0</v>
      </c>
      <c r="W272" s="56">
        <f>IF(egcs_year_ship5&lt;=W$2,-capex_ship5*10^6+SUMIF($D250:W250,"&lt;&gt;#N/A"),NA())</f>
        <v>0</v>
      </c>
      <c r="X272" s="56">
        <f>IF(egcs_year_ship5&lt;=X$2,-capex_ship5*10^6+SUMIF($D250:X250,"&lt;&gt;#N/A"),NA())</f>
        <v>0</v>
      </c>
      <c r="Y272" s="56">
        <f>IF(egcs_year_ship5&lt;=Y$2,-capex_ship5*10^6+SUMIF($D250:Y250,"&lt;&gt;#N/A"),NA())</f>
        <v>0</v>
      </c>
      <c r="Z272" s="56">
        <f>IF(egcs_year_ship5&lt;=Z$2,-capex_ship5*10^6+SUMIF($D250:Z250,"&lt;&gt;#N/A"),NA())</f>
        <v>0</v>
      </c>
      <c r="AB272" s="66">
        <f t="shared" si="262"/>
        <v>0</v>
      </c>
      <c r="AC272" s="56">
        <f t="shared" si="263"/>
        <v>0</v>
      </c>
      <c r="AD272" s="67">
        <f t="shared" si="264"/>
        <v>0</v>
      </c>
    </row>
    <row r="273" spans="1:32" x14ac:dyDescent="0.2">
      <c r="A273" s="265"/>
      <c r="B273" s="248"/>
      <c r="C273" s="30" t="s">
        <v>18</v>
      </c>
      <c r="D273" s="60">
        <f>IF(egcs_year_ship5&lt;=D$2,-capex_ship5*10^6+SUMIF($D251:D251,"&lt;&gt;#N/A"),NA())</f>
        <v>0</v>
      </c>
      <c r="E273" s="60">
        <f>IF(egcs_year_ship5&lt;=E$2,-capex_ship5*10^6+SUMIF($D251:E251,"&lt;&gt;#N/A"),NA())</f>
        <v>0</v>
      </c>
      <c r="F273" s="60">
        <f>IF(egcs_year_ship5&lt;=F$2,-capex_ship5*10^6+SUMIF($D251:F251,"&lt;&gt;#N/A"),NA())</f>
        <v>0</v>
      </c>
      <c r="G273" s="60">
        <f>IF(egcs_year_ship5&lt;=G$2,-capex_ship5*10^6+SUMIF($D251:G251,"&lt;&gt;#N/A"),NA())</f>
        <v>0</v>
      </c>
      <c r="H273" s="60">
        <f>IF(egcs_year_ship5&lt;=H$2,-capex_ship5*10^6+SUMIF($D251:H251,"&lt;&gt;#N/A"),NA())</f>
        <v>0</v>
      </c>
      <c r="I273" s="60">
        <f>IF(egcs_year_ship5&lt;=I$2,-capex_ship5*10^6+SUMIF($D251:I251,"&lt;&gt;#N/A"),NA())</f>
        <v>0</v>
      </c>
      <c r="J273" s="60">
        <f>IF(egcs_year_ship5&lt;=J$2,-capex_ship5*10^6+SUMIF($D251:J251,"&lt;&gt;#N/A"),NA())</f>
        <v>0</v>
      </c>
      <c r="K273" s="60">
        <f>IF(egcs_year_ship5&lt;=K$2,-capex_ship5*10^6+SUMIF($D251:K251,"&lt;&gt;#N/A"),NA())</f>
        <v>0</v>
      </c>
      <c r="L273" s="60">
        <f>IF(egcs_year_ship5&lt;=L$2,-capex_ship5*10^6+SUMIF($D251:L251,"&lt;&gt;#N/A"),NA())</f>
        <v>0</v>
      </c>
      <c r="M273" s="60">
        <f>IF(egcs_year_ship5&lt;=M$2,-capex_ship5*10^6+SUMIF($D251:M251,"&lt;&gt;#N/A"),NA())</f>
        <v>0</v>
      </c>
      <c r="N273" s="60">
        <f>IF(egcs_year_ship5&lt;=N$2,-capex_ship5*10^6+SUMIF($D251:N251,"&lt;&gt;#N/A"),NA())</f>
        <v>0</v>
      </c>
      <c r="O273" s="60">
        <f>IF(egcs_year_ship5&lt;=O$2,-capex_ship5*10^6+SUMIF($D251:O251,"&lt;&gt;#N/A"),NA())</f>
        <v>0</v>
      </c>
      <c r="P273" s="60">
        <f>IF(egcs_year_ship5&lt;=P$2,-capex_ship5*10^6+SUMIF($D251:P251,"&lt;&gt;#N/A"),NA())</f>
        <v>0</v>
      </c>
      <c r="Q273" s="60">
        <f>IF(egcs_year_ship5&lt;=Q$2,-capex_ship5*10^6+SUMIF($D251:Q251,"&lt;&gt;#N/A"),NA())</f>
        <v>0</v>
      </c>
      <c r="R273" s="60">
        <f>IF(egcs_year_ship5&lt;=R$2,-capex_ship5*10^6+SUMIF($D251:R251,"&lt;&gt;#N/A"),NA())</f>
        <v>0</v>
      </c>
      <c r="S273" s="60">
        <f>IF(egcs_year_ship5&lt;=S$2,-capex_ship5*10^6+SUMIF($D251:S251,"&lt;&gt;#N/A"),NA())</f>
        <v>0</v>
      </c>
      <c r="T273" s="60">
        <f>IF(egcs_year_ship5&lt;=T$2,-capex_ship5*10^6+SUMIF($D251:T251,"&lt;&gt;#N/A"),NA())</f>
        <v>0</v>
      </c>
      <c r="U273" s="60">
        <f>IF(egcs_year_ship5&lt;=U$2,-capex_ship5*10^6+SUMIF($D251:U251,"&lt;&gt;#N/A"),NA())</f>
        <v>0</v>
      </c>
      <c r="V273" s="60">
        <f>IF(egcs_year_ship5&lt;=V$2,-capex_ship5*10^6+SUMIF($D251:V251,"&lt;&gt;#N/A"),NA())</f>
        <v>0</v>
      </c>
      <c r="W273" s="60">
        <f>IF(egcs_year_ship5&lt;=W$2,-capex_ship5*10^6+SUMIF($D251:W251,"&lt;&gt;#N/A"),NA())</f>
        <v>0</v>
      </c>
      <c r="X273" s="60">
        <f>IF(egcs_year_ship5&lt;=X$2,-capex_ship5*10^6+SUMIF($D251:X251,"&lt;&gt;#N/A"),NA())</f>
        <v>0</v>
      </c>
      <c r="Y273" s="60">
        <f>IF(egcs_year_ship5&lt;=Y$2,-capex_ship5*10^6+SUMIF($D251:Y251,"&lt;&gt;#N/A"),NA())</f>
        <v>0</v>
      </c>
      <c r="Z273" s="60">
        <f>IF(egcs_year_ship5&lt;=Z$2,-capex_ship5*10^6+SUMIF($D251:Z251,"&lt;&gt;#N/A"),NA())</f>
        <v>0</v>
      </c>
      <c r="AB273" s="61">
        <f t="shared" si="262"/>
        <v>0</v>
      </c>
      <c r="AC273" s="60">
        <f t="shared" si="263"/>
        <v>0</v>
      </c>
      <c r="AD273" s="62">
        <f t="shared" si="264"/>
        <v>0</v>
      </c>
    </row>
    <row r="274" spans="1:32" x14ac:dyDescent="0.2">
      <c r="A274" s="265"/>
      <c r="B274" s="248"/>
      <c r="C274" s="30" t="s">
        <v>19</v>
      </c>
      <c r="D274" s="63">
        <f>IF(egcs_year_ship5&lt;=D$2,-capex_ship5*10^6+SUMIF($D252:D252,"&lt;&gt;#N/A"),NA())</f>
        <v>0</v>
      </c>
      <c r="E274" s="63">
        <f>IF(egcs_year_ship5&lt;=E$2,-capex_ship5*10^6+SUMIF($D252:E252,"&lt;&gt;#N/A"),NA())</f>
        <v>0</v>
      </c>
      <c r="F274" s="63">
        <f>IF(egcs_year_ship5&lt;=F$2,-capex_ship5*10^6+SUMIF($D252:F252,"&lt;&gt;#N/A"),NA())</f>
        <v>0</v>
      </c>
      <c r="G274" s="63">
        <f>IF(egcs_year_ship5&lt;=G$2,-capex_ship5*10^6+SUMIF($D252:G252,"&lt;&gt;#N/A"),NA())</f>
        <v>0</v>
      </c>
      <c r="H274" s="63">
        <f>IF(egcs_year_ship5&lt;=H$2,-capex_ship5*10^6+SUMIF($D252:H252,"&lt;&gt;#N/A"),NA())</f>
        <v>0</v>
      </c>
      <c r="I274" s="63">
        <f>IF(egcs_year_ship5&lt;=I$2,-capex_ship5*10^6+SUMIF($D252:I252,"&lt;&gt;#N/A"),NA())</f>
        <v>0</v>
      </c>
      <c r="J274" s="63">
        <f>IF(egcs_year_ship5&lt;=J$2,-capex_ship5*10^6+SUMIF($D252:J252,"&lt;&gt;#N/A"),NA())</f>
        <v>0</v>
      </c>
      <c r="K274" s="63">
        <f>IF(egcs_year_ship5&lt;=K$2,-capex_ship5*10^6+SUMIF($D252:K252,"&lt;&gt;#N/A"),NA())</f>
        <v>0</v>
      </c>
      <c r="L274" s="63">
        <f>IF(egcs_year_ship5&lt;=L$2,-capex_ship5*10^6+SUMIF($D252:L252,"&lt;&gt;#N/A"),NA())</f>
        <v>0</v>
      </c>
      <c r="M274" s="63">
        <f>IF(egcs_year_ship5&lt;=M$2,-capex_ship5*10^6+SUMIF($D252:M252,"&lt;&gt;#N/A"),NA())</f>
        <v>0</v>
      </c>
      <c r="N274" s="63">
        <f>IF(egcs_year_ship5&lt;=N$2,-capex_ship5*10^6+SUMIF($D252:N252,"&lt;&gt;#N/A"),NA())</f>
        <v>0</v>
      </c>
      <c r="O274" s="63">
        <f>IF(egcs_year_ship5&lt;=O$2,-capex_ship5*10^6+SUMIF($D252:O252,"&lt;&gt;#N/A"),NA())</f>
        <v>0</v>
      </c>
      <c r="P274" s="63">
        <f>IF(egcs_year_ship5&lt;=P$2,-capex_ship5*10^6+SUMIF($D252:P252,"&lt;&gt;#N/A"),NA())</f>
        <v>0</v>
      </c>
      <c r="Q274" s="63">
        <f>IF(egcs_year_ship5&lt;=Q$2,-capex_ship5*10^6+SUMIF($D252:Q252,"&lt;&gt;#N/A"),NA())</f>
        <v>0</v>
      </c>
      <c r="R274" s="63">
        <f>IF(egcs_year_ship5&lt;=R$2,-capex_ship5*10^6+SUMIF($D252:R252,"&lt;&gt;#N/A"),NA())</f>
        <v>0</v>
      </c>
      <c r="S274" s="63">
        <f>IF(egcs_year_ship5&lt;=S$2,-capex_ship5*10^6+SUMIF($D252:S252,"&lt;&gt;#N/A"),NA())</f>
        <v>0</v>
      </c>
      <c r="T274" s="63">
        <f>IF(egcs_year_ship5&lt;=T$2,-capex_ship5*10^6+SUMIF($D252:T252,"&lt;&gt;#N/A"),NA())</f>
        <v>0</v>
      </c>
      <c r="U274" s="63">
        <f>IF(egcs_year_ship5&lt;=U$2,-capex_ship5*10^6+SUMIF($D252:U252,"&lt;&gt;#N/A"),NA())</f>
        <v>0</v>
      </c>
      <c r="V274" s="63">
        <f>IF(egcs_year_ship5&lt;=V$2,-capex_ship5*10^6+SUMIF($D252:V252,"&lt;&gt;#N/A"),NA())</f>
        <v>0</v>
      </c>
      <c r="W274" s="63">
        <f>IF(egcs_year_ship5&lt;=W$2,-capex_ship5*10^6+SUMIF($D252:W252,"&lt;&gt;#N/A"),NA())</f>
        <v>0</v>
      </c>
      <c r="X274" s="63">
        <f>IF(egcs_year_ship5&lt;=X$2,-capex_ship5*10^6+SUMIF($D252:X252,"&lt;&gt;#N/A"),NA())</f>
        <v>0</v>
      </c>
      <c r="Y274" s="63">
        <f>IF(egcs_year_ship5&lt;=Y$2,-capex_ship5*10^6+SUMIF($D252:Y252,"&lt;&gt;#N/A"),NA())</f>
        <v>0</v>
      </c>
      <c r="Z274" s="63">
        <f>IF(egcs_year_ship5&lt;=Z$2,-capex_ship5*10^6+SUMIF($D252:Z252,"&lt;&gt;#N/A"),NA())</f>
        <v>0</v>
      </c>
      <c r="AB274" s="64">
        <f t="shared" si="262"/>
        <v>0</v>
      </c>
      <c r="AC274" s="63">
        <f t="shared" si="263"/>
        <v>0</v>
      </c>
      <c r="AD274" s="65">
        <f t="shared" si="264"/>
        <v>0</v>
      </c>
    </row>
    <row r="275" spans="1:32" x14ac:dyDescent="0.2">
      <c r="A275" s="265"/>
      <c r="B275" s="248">
        <f>ship6</f>
        <v>0</v>
      </c>
      <c r="C275" s="30" t="s">
        <v>17</v>
      </c>
      <c r="D275" s="56">
        <f>IF(egcs_year_ship6&lt;=D$2,-capex_ship6*10^6+SUMIF($D253:D253,"&lt;&gt;#N/A"),NA())</f>
        <v>0</v>
      </c>
      <c r="E275" s="56">
        <f>IF(egcs_year_ship6&lt;=E$2,-capex_ship6*10^6+SUMIF($D253:E253,"&lt;&gt;#N/A"),NA())</f>
        <v>0</v>
      </c>
      <c r="F275" s="56">
        <f>IF(egcs_year_ship6&lt;=F$2,-capex_ship6*10^6+SUMIF($D253:F253,"&lt;&gt;#N/A"),NA())</f>
        <v>0</v>
      </c>
      <c r="G275" s="56">
        <f>IF(egcs_year_ship6&lt;=G$2,-capex_ship6*10^6+SUMIF($D253:G253,"&lt;&gt;#N/A"),NA())</f>
        <v>0</v>
      </c>
      <c r="H275" s="56">
        <f>IF(egcs_year_ship6&lt;=H$2,-capex_ship6*10^6+SUMIF($D253:H253,"&lt;&gt;#N/A"),NA())</f>
        <v>0</v>
      </c>
      <c r="I275" s="56">
        <f>IF(egcs_year_ship6&lt;=I$2,-capex_ship6*10^6+SUMIF($D253:I253,"&lt;&gt;#N/A"),NA())</f>
        <v>0</v>
      </c>
      <c r="J275" s="56">
        <f>IF(egcs_year_ship6&lt;=J$2,-capex_ship6*10^6+SUMIF($D253:J253,"&lt;&gt;#N/A"),NA())</f>
        <v>0</v>
      </c>
      <c r="K275" s="56">
        <f>IF(egcs_year_ship6&lt;=K$2,-capex_ship6*10^6+SUMIF($D253:K253,"&lt;&gt;#N/A"),NA())</f>
        <v>0</v>
      </c>
      <c r="L275" s="56">
        <f>IF(egcs_year_ship6&lt;=L$2,-capex_ship6*10^6+SUMIF($D253:L253,"&lt;&gt;#N/A"),NA())</f>
        <v>0</v>
      </c>
      <c r="M275" s="56">
        <f>IF(egcs_year_ship6&lt;=M$2,-capex_ship6*10^6+SUMIF($D253:M253,"&lt;&gt;#N/A"),NA())</f>
        <v>0</v>
      </c>
      <c r="N275" s="56">
        <f>IF(egcs_year_ship6&lt;=N$2,-capex_ship6*10^6+SUMIF($D253:N253,"&lt;&gt;#N/A"),NA())</f>
        <v>0</v>
      </c>
      <c r="O275" s="56">
        <f>IF(egcs_year_ship6&lt;=O$2,-capex_ship6*10^6+SUMIF($D253:O253,"&lt;&gt;#N/A"),NA())</f>
        <v>0</v>
      </c>
      <c r="P275" s="56">
        <f>IF(egcs_year_ship6&lt;=P$2,-capex_ship6*10^6+SUMIF($D253:P253,"&lt;&gt;#N/A"),NA())</f>
        <v>0</v>
      </c>
      <c r="Q275" s="56">
        <f>IF(egcs_year_ship6&lt;=Q$2,-capex_ship6*10^6+SUMIF($D253:Q253,"&lt;&gt;#N/A"),NA())</f>
        <v>0</v>
      </c>
      <c r="R275" s="56">
        <f>IF(egcs_year_ship6&lt;=R$2,-capex_ship6*10^6+SUMIF($D253:R253,"&lt;&gt;#N/A"),NA())</f>
        <v>0</v>
      </c>
      <c r="S275" s="56">
        <f>IF(egcs_year_ship6&lt;=S$2,-capex_ship6*10^6+SUMIF($D253:S253,"&lt;&gt;#N/A"),NA())</f>
        <v>0</v>
      </c>
      <c r="T275" s="56">
        <f>IF(egcs_year_ship6&lt;=T$2,-capex_ship6*10^6+SUMIF($D253:T253,"&lt;&gt;#N/A"),NA())</f>
        <v>0</v>
      </c>
      <c r="U275" s="56">
        <f>IF(egcs_year_ship6&lt;=U$2,-capex_ship6*10^6+SUMIF($D253:U253,"&lt;&gt;#N/A"),NA())</f>
        <v>0</v>
      </c>
      <c r="V275" s="56">
        <f>IF(egcs_year_ship6&lt;=V$2,-capex_ship6*10^6+SUMIF($D253:V253,"&lt;&gt;#N/A"),NA())</f>
        <v>0</v>
      </c>
      <c r="W275" s="56">
        <f>IF(egcs_year_ship6&lt;=W$2,-capex_ship6*10^6+SUMIF($D253:W253,"&lt;&gt;#N/A"),NA())</f>
        <v>0</v>
      </c>
      <c r="X275" s="56">
        <f>IF(egcs_year_ship6&lt;=X$2,-capex_ship6*10^6+SUMIF($D253:X253,"&lt;&gt;#N/A"),NA())</f>
        <v>0</v>
      </c>
      <c r="Y275" s="56">
        <f>IF(egcs_year_ship6&lt;=Y$2,-capex_ship6*10^6+SUMIF($D253:Y253,"&lt;&gt;#N/A"),NA())</f>
        <v>0</v>
      </c>
      <c r="Z275" s="56">
        <f>IF(egcs_year_ship6&lt;=Z$2,-capex_ship6*10^6+SUMIF($D253:Z253,"&lt;&gt;#N/A"),NA())</f>
        <v>0</v>
      </c>
      <c r="AB275" s="66">
        <f t="shared" si="262"/>
        <v>0</v>
      </c>
      <c r="AC275" s="56">
        <f t="shared" si="263"/>
        <v>0</v>
      </c>
      <c r="AD275" s="67">
        <f>AVERAGE(K275:Z275)</f>
        <v>0</v>
      </c>
    </row>
    <row r="276" spans="1:32" x14ac:dyDescent="0.2">
      <c r="A276" s="265"/>
      <c r="B276" s="248"/>
      <c r="C276" s="30" t="s">
        <v>18</v>
      </c>
      <c r="D276" s="60">
        <f>IF(egcs_year_ship6&lt;=D$2,-capex_ship6*10^6+SUMIF($D254:D254,"&lt;&gt;#N/A"),NA())</f>
        <v>0</v>
      </c>
      <c r="E276" s="60">
        <f>IF(egcs_year_ship6&lt;=E$2,-capex_ship6*10^6+SUMIF($D254:E254,"&lt;&gt;#N/A"),NA())</f>
        <v>0</v>
      </c>
      <c r="F276" s="60">
        <f>IF(egcs_year_ship6&lt;=F$2,-capex_ship6*10^6+SUMIF($D254:F254,"&lt;&gt;#N/A"),NA())</f>
        <v>0</v>
      </c>
      <c r="G276" s="60">
        <f>IF(egcs_year_ship6&lt;=G$2,-capex_ship6*10^6+SUMIF($D254:G254,"&lt;&gt;#N/A"),NA())</f>
        <v>0</v>
      </c>
      <c r="H276" s="60">
        <f>IF(egcs_year_ship6&lt;=H$2,-capex_ship6*10^6+SUMIF($D254:H254,"&lt;&gt;#N/A"),NA())</f>
        <v>0</v>
      </c>
      <c r="I276" s="60">
        <f>IF(egcs_year_ship6&lt;=I$2,-capex_ship6*10^6+SUMIF($D254:I254,"&lt;&gt;#N/A"),NA())</f>
        <v>0</v>
      </c>
      <c r="J276" s="60">
        <f>IF(egcs_year_ship6&lt;=J$2,-capex_ship6*10^6+SUMIF($D254:J254,"&lt;&gt;#N/A"),NA())</f>
        <v>0</v>
      </c>
      <c r="K276" s="60">
        <f>IF(egcs_year_ship6&lt;=K$2,-capex_ship6*10^6+SUMIF($D254:K254,"&lt;&gt;#N/A"),NA())</f>
        <v>0</v>
      </c>
      <c r="L276" s="60">
        <f>IF(egcs_year_ship6&lt;=L$2,-capex_ship6*10^6+SUMIF($D254:L254,"&lt;&gt;#N/A"),NA())</f>
        <v>0</v>
      </c>
      <c r="M276" s="60">
        <f>IF(egcs_year_ship6&lt;=M$2,-capex_ship6*10^6+SUMIF($D254:M254,"&lt;&gt;#N/A"),NA())</f>
        <v>0</v>
      </c>
      <c r="N276" s="60">
        <f>IF(egcs_year_ship6&lt;=N$2,-capex_ship6*10^6+SUMIF($D254:N254,"&lt;&gt;#N/A"),NA())</f>
        <v>0</v>
      </c>
      <c r="O276" s="60">
        <f>IF(egcs_year_ship6&lt;=O$2,-capex_ship6*10^6+SUMIF($D254:O254,"&lt;&gt;#N/A"),NA())</f>
        <v>0</v>
      </c>
      <c r="P276" s="60">
        <f>IF(egcs_year_ship6&lt;=P$2,-capex_ship6*10^6+SUMIF($D254:P254,"&lt;&gt;#N/A"),NA())</f>
        <v>0</v>
      </c>
      <c r="Q276" s="60">
        <f>IF(egcs_year_ship6&lt;=Q$2,-capex_ship6*10^6+SUMIF($D254:Q254,"&lt;&gt;#N/A"),NA())</f>
        <v>0</v>
      </c>
      <c r="R276" s="60">
        <f>IF(egcs_year_ship6&lt;=R$2,-capex_ship6*10^6+SUMIF($D254:R254,"&lt;&gt;#N/A"),NA())</f>
        <v>0</v>
      </c>
      <c r="S276" s="60">
        <f>IF(egcs_year_ship6&lt;=S$2,-capex_ship6*10^6+SUMIF($D254:S254,"&lt;&gt;#N/A"),NA())</f>
        <v>0</v>
      </c>
      <c r="T276" s="60">
        <f>IF(egcs_year_ship6&lt;=T$2,-capex_ship6*10^6+SUMIF($D254:T254,"&lt;&gt;#N/A"),NA())</f>
        <v>0</v>
      </c>
      <c r="U276" s="60">
        <f>IF(egcs_year_ship6&lt;=U$2,-capex_ship6*10^6+SUMIF($D254:U254,"&lt;&gt;#N/A"),NA())</f>
        <v>0</v>
      </c>
      <c r="V276" s="60">
        <f>IF(egcs_year_ship6&lt;=V$2,-capex_ship6*10^6+SUMIF($D254:V254,"&lt;&gt;#N/A"),NA())</f>
        <v>0</v>
      </c>
      <c r="W276" s="60">
        <f>IF(egcs_year_ship6&lt;=W$2,-capex_ship6*10^6+SUMIF($D254:W254,"&lt;&gt;#N/A"),NA())</f>
        <v>0</v>
      </c>
      <c r="X276" s="60">
        <f>IF(egcs_year_ship6&lt;=X$2,-capex_ship6*10^6+SUMIF($D254:X254,"&lt;&gt;#N/A"),NA())</f>
        <v>0</v>
      </c>
      <c r="Y276" s="60">
        <f>IF(egcs_year_ship6&lt;=Y$2,-capex_ship6*10^6+SUMIF($D254:Y254,"&lt;&gt;#N/A"),NA())</f>
        <v>0</v>
      </c>
      <c r="Z276" s="60">
        <f>IF(egcs_year_ship6&lt;=Z$2,-capex_ship6*10^6+SUMIF($D254:Z254,"&lt;&gt;#N/A"),NA())</f>
        <v>0</v>
      </c>
      <c r="AB276" s="61">
        <f t="shared" si="262"/>
        <v>0</v>
      </c>
      <c r="AC276" s="60">
        <f t="shared" si="263"/>
        <v>0</v>
      </c>
      <c r="AD276" s="62">
        <f>AVERAGE(K276:Z276)</f>
        <v>0</v>
      </c>
    </row>
    <row r="277" spans="1:32" ht="13.5" thickBot="1" x14ac:dyDescent="0.25">
      <c r="A277" s="265"/>
      <c r="B277" s="248"/>
      <c r="C277" s="30" t="s">
        <v>19</v>
      </c>
      <c r="D277" s="63">
        <f>IF(egcs_year_ship6&lt;=D$2,-capex_ship6*10^6+SUMIF($D255:D255,"&lt;&gt;#N/A"),NA())</f>
        <v>0</v>
      </c>
      <c r="E277" s="63">
        <f>IF(egcs_year_ship6&lt;=E$2,-capex_ship6*10^6+SUMIF($D255:E255,"&lt;&gt;#N/A"),NA())</f>
        <v>0</v>
      </c>
      <c r="F277" s="63">
        <f>IF(egcs_year_ship6&lt;=F$2,-capex_ship6*10^6+SUMIF($D255:F255,"&lt;&gt;#N/A"),NA())</f>
        <v>0</v>
      </c>
      <c r="G277" s="63">
        <f>IF(egcs_year_ship6&lt;=G$2,-capex_ship6*10^6+SUMIF($D255:G255,"&lt;&gt;#N/A"),NA())</f>
        <v>0</v>
      </c>
      <c r="H277" s="63">
        <f>IF(egcs_year_ship6&lt;=H$2,-capex_ship6*10^6+SUMIF($D255:H255,"&lt;&gt;#N/A"),NA())</f>
        <v>0</v>
      </c>
      <c r="I277" s="63">
        <f>IF(egcs_year_ship6&lt;=I$2,-capex_ship6*10^6+SUMIF($D255:I255,"&lt;&gt;#N/A"),NA())</f>
        <v>0</v>
      </c>
      <c r="J277" s="63">
        <f>IF(egcs_year_ship6&lt;=J$2,-capex_ship6*10^6+SUMIF($D255:J255,"&lt;&gt;#N/A"),NA())</f>
        <v>0</v>
      </c>
      <c r="K277" s="63">
        <f>IF(egcs_year_ship6&lt;=K$2,-capex_ship6*10^6+SUMIF($D255:K255,"&lt;&gt;#N/A"),NA())</f>
        <v>0</v>
      </c>
      <c r="L277" s="63">
        <f>IF(egcs_year_ship6&lt;=L$2,-capex_ship6*10^6+SUMIF($D255:L255,"&lt;&gt;#N/A"),NA())</f>
        <v>0</v>
      </c>
      <c r="M277" s="63">
        <f>IF(egcs_year_ship6&lt;=M$2,-capex_ship6*10^6+SUMIF($D255:M255,"&lt;&gt;#N/A"),NA())</f>
        <v>0</v>
      </c>
      <c r="N277" s="63">
        <f>IF(egcs_year_ship6&lt;=N$2,-capex_ship6*10^6+SUMIF($D255:N255,"&lt;&gt;#N/A"),NA())</f>
        <v>0</v>
      </c>
      <c r="O277" s="63">
        <f>IF(egcs_year_ship6&lt;=O$2,-capex_ship6*10^6+SUMIF($D255:O255,"&lt;&gt;#N/A"),NA())</f>
        <v>0</v>
      </c>
      <c r="P277" s="63">
        <f>IF(egcs_year_ship6&lt;=P$2,-capex_ship6*10^6+SUMIF($D255:P255,"&lt;&gt;#N/A"),NA())</f>
        <v>0</v>
      </c>
      <c r="Q277" s="63">
        <f>IF(egcs_year_ship6&lt;=Q$2,-capex_ship6*10^6+SUMIF($D255:Q255,"&lt;&gt;#N/A"),NA())</f>
        <v>0</v>
      </c>
      <c r="R277" s="63">
        <f>IF(egcs_year_ship6&lt;=R$2,-capex_ship6*10^6+SUMIF($D255:R255,"&lt;&gt;#N/A"),NA())</f>
        <v>0</v>
      </c>
      <c r="S277" s="63">
        <f>IF(egcs_year_ship6&lt;=S$2,-capex_ship6*10^6+SUMIF($D255:S255,"&lt;&gt;#N/A"),NA())</f>
        <v>0</v>
      </c>
      <c r="T277" s="63">
        <f>IF(egcs_year_ship6&lt;=T$2,-capex_ship6*10^6+SUMIF($D255:T255,"&lt;&gt;#N/A"),NA())</f>
        <v>0</v>
      </c>
      <c r="U277" s="63">
        <f>IF(egcs_year_ship6&lt;=U$2,-capex_ship6*10^6+SUMIF($D255:U255,"&lt;&gt;#N/A"),NA())</f>
        <v>0</v>
      </c>
      <c r="V277" s="63">
        <f>IF(egcs_year_ship6&lt;=V$2,-capex_ship6*10^6+SUMIF($D255:V255,"&lt;&gt;#N/A"),NA())</f>
        <v>0</v>
      </c>
      <c r="W277" s="63">
        <f>IF(egcs_year_ship6&lt;=W$2,-capex_ship6*10^6+SUMIF($D255:W255,"&lt;&gt;#N/A"),NA())</f>
        <v>0</v>
      </c>
      <c r="X277" s="63">
        <f>IF(egcs_year_ship6&lt;=X$2,-capex_ship6*10^6+SUMIF($D255:X255,"&lt;&gt;#N/A"),NA())</f>
        <v>0</v>
      </c>
      <c r="Y277" s="63">
        <f>IF(egcs_year_ship6&lt;=Y$2,-capex_ship6*10^6+SUMIF($D255:Y255,"&lt;&gt;#N/A"),NA())</f>
        <v>0</v>
      </c>
      <c r="Z277" s="63">
        <f>IF(egcs_year_ship6&lt;=Z$2,-capex_ship6*10^6+SUMIF($D255:Z255,"&lt;&gt;#N/A"),NA())</f>
        <v>0</v>
      </c>
      <c r="AB277" s="68">
        <f t="shared" si="262"/>
        <v>0</v>
      </c>
      <c r="AC277" s="69">
        <f t="shared" si="263"/>
        <v>0</v>
      </c>
      <c r="AD277" s="70">
        <f>AVERAGE(K277:Z277)</f>
        <v>0</v>
      </c>
    </row>
    <row r="278" spans="1:32" ht="12.75" customHeight="1" x14ac:dyDescent="0.2">
      <c r="A278" s="248" t="s">
        <v>59</v>
      </c>
      <c r="B278" s="248">
        <f>ship_plot</f>
        <v>0</v>
      </c>
      <c r="C278" s="30" t="s">
        <v>17</v>
      </c>
      <c r="D278" s="56">
        <f t="shared" ref="D278:Z278" si="265">IF(ship_plot=ship1,D260,IF(ship_plot=ship2,D263,IF(ship_plot=ship3,D266,IF(ship_plot=ship4,D269,IF(ship_plot=ship5,D272,IF(ship_plot=ship6,D275,"error"))))))</f>
        <v>0</v>
      </c>
      <c r="E278" s="56">
        <f t="shared" si="265"/>
        <v>0</v>
      </c>
      <c r="F278" s="56">
        <f t="shared" si="265"/>
        <v>0</v>
      </c>
      <c r="G278" s="56">
        <f t="shared" si="265"/>
        <v>0</v>
      </c>
      <c r="H278" s="56">
        <f t="shared" si="265"/>
        <v>0</v>
      </c>
      <c r="I278" s="56">
        <f t="shared" si="265"/>
        <v>0</v>
      </c>
      <c r="J278" s="56">
        <f t="shared" si="265"/>
        <v>0</v>
      </c>
      <c r="K278" s="56">
        <f t="shared" si="265"/>
        <v>0</v>
      </c>
      <c r="L278" s="56">
        <f t="shared" si="265"/>
        <v>0</v>
      </c>
      <c r="M278" s="56">
        <f t="shared" si="265"/>
        <v>0</v>
      </c>
      <c r="N278" s="56">
        <f t="shared" si="265"/>
        <v>0</v>
      </c>
      <c r="O278" s="56">
        <f t="shared" si="265"/>
        <v>0</v>
      </c>
      <c r="P278" s="56">
        <f t="shared" si="265"/>
        <v>0</v>
      </c>
      <c r="Q278" s="56">
        <f t="shared" si="265"/>
        <v>0</v>
      </c>
      <c r="R278" s="56">
        <f t="shared" si="265"/>
        <v>0</v>
      </c>
      <c r="S278" s="56">
        <f t="shared" si="265"/>
        <v>0</v>
      </c>
      <c r="T278" s="56">
        <f t="shared" si="265"/>
        <v>0</v>
      </c>
      <c r="U278" s="56">
        <f t="shared" si="265"/>
        <v>0</v>
      </c>
      <c r="V278" s="56">
        <f t="shared" si="265"/>
        <v>0</v>
      </c>
      <c r="W278" s="56">
        <f t="shared" si="265"/>
        <v>0</v>
      </c>
      <c r="X278" s="56">
        <f t="shared" si="265"/>
        <v>0</v>
      </c>
      <c r="Y278" s="56">
        <f t="shared" si="265"/>
        <v>0</v>
      </c>
      <c r="Z278" s="56">
        <f t="shared" si="265"/>
        <v>0</v>
      </c>
      <c r="AB278" s="37"/>
      <c r="AC278" s="37"/>
      <c r="AD278" s="37"/>
    </row>
    <row r="279" spans="1:32" x14ac:dyDescent="0.2">
      <c r="A279" s="248"/>
      <c r="B279" s="248"/>
      <c r="C279" s="30" t="s">
        <v>18</v>
      </c>
      <c r="D279" s="60">
        <f t="shared" ref="D279:Z279" si="266">IF(ship_plot=ship1,D261,IF(ship_plot=ship2,D264,IF(ship_plot=ship3,D267,IF(ship_plot=ship4,D270,IF(ship_plot=ship5,D273,IF(ship_plot=ship6,D276,"error"))))))</f>
        <v>0</v>
      </c>
      <c r="E279" s="60">
        <f t="shared" si="266"/>
        <v>0</v>
      </c>
      <c r="F279" s="60">
        <f t="shared" si="266"/>
        <v>0</v>
      </c>
      <c r="G279" s="60">
        <f t="shared" si="266"/>
        <v>0</v>
      </c>
      <c r="H279" s="60">
        <f t="shared" si="266"/>
        <v>0</v>
      </c>
      <c r="I279" s="60">
        <f t="shared" si="266"/>
        <v>0</v>
      </c>
      <c r="J279" s="60">
        <f t="shared" si="266"/>
        <v>0</v>
      </c>
      <c r="K279" s="60">
        <f t="shared" si="266"/>
        <v>0</v>
      </c>
      <c r="L279" s="60">
        <f t="shared" si="266"/>
        <v>0</v>
      </c>
      <c r="M279" s="60">
        <f t="shared" si="266"/>
        <v>0</v>
      </c>
      <c r="N279" s="60">
        <f t="shared" si="266"/>
        <v>0</v>
      </c>
      <c r="O279" s="60">
        <f t="shared" si="266"/>
        <v>0</v>
      </c>
      <c r="P279" s="60">
        <f t="shared" si="266"/>
        <v>0</v>
      </c>
      <c r="Q279" s="60">
        <f t="shared" si="266"/>
        <v>0</v>
      </c>
      <c r="R279" s="60">
        <f t="shared" si="266"/>
        <v>0</v>
      </c>
      <c r="S279" s="60">
        <f t="shared" si="266"/>
        <v>0</v>
      </c>
      <c r="T279" s="60">
        <f t="shared" si="266"/>
        <v>0</v>
      </c>
      <c r="U279" s="60">
        <f t="shared" si="266"/>
        <v>0</v>
      </c>
      <c r="V279" s="60">
        <f t="shared" si="266"/>
        <v>0</v>
      </c>
      <c r="W279" s="60">
        <f t="shared" si="266"/>
        <v>0</v>
      </c>
      <c r="X279" s="60">
        <f t="shared" si="266"/>
        <v>0</v>
      </c>
      <c r="Y279" s="60">
        <f t="shared" si="266"/>
        <v>0</v>
      </c>
      <c r="Z279" s="60">
        <f t="shared" si="266"/>
        <v>0</v>
      </c>
      <c r="AB279" s="37"/>
      <c r="AC279" s="37"/>
      <c r="AD279" s="37"/>
    </row>
    <row r="280" spans="1:32" x14ac:dyDescent="0.2">
      <c r="A280" s="248"/>
      <c r="B280" s="248"/>
      <c r="C280" s="30" t="s">
        <v>19</v>
      </c>
      <c r="D280" s="63">
        <f t="shared" ref="D280:Z280" si="267">IF(ship_plot=ship1,D262,IF(ship_plot=ship2,D265,IF(ship_plot=ship3,D268,IF(ship_plot=ship4,D271,IF(ship_plot=ship5,D274,IF(ship_plot=ship6,D277,"error"))))))</f>
        <v>0</v>
      </c>
      <c r="E280" s="63">
        <f t="shared" si="267"/>
        <v>0</v>
      </c>
      <c r="F280" s="63">
        <f t="shared" si="267"/>
        <v>0</v>
      </c>
      <c r="G280" s="63">
        <f t="shared" si="267"/>
        <v>0</v>
      </c>
      <c r="H280" s="63">
        <f t="shared" si="267"/>
        <v>0</v>
      </c>
      <c r="I280" s="63">
        <f t="shared" si="267"/>
        <v>0</v>
      </c>
      <c r="J280" s="63">
        <f t="shared" si="267"/>
        <v>0</v>
      </c>
      <c r="K280" s="63">
        <f t="shared" si="267"/>
        <v>0</v>
      </c>
      <c r="L280" s="63">
        <f t="shared" si="267"/>
        <v>0</v>
      </c>
      <c r="M280" s="63">
        <f t="shared" si="267"/>
        <v>0</v>
      </c>
      <c r="N280" s="63">
        <f t="shared" si="267"/>
        <v>0</v>
      </c>
      <c r="O280" s="63">
        <f t="shared" si="267"/>
        <v>0</v>
      </c>
      <c r="P280" s="63">
        <f t="shared" si="267"/>
        <v>0</v>
      </c>
      <c r="Q280" s="63">
        <f t="shared" si="267"/>
        <v>0</v>
      </c>
      <c r="R280" s="63">
        <f t="shared" si="267"/>
        <v>0</v>
      </c>
      <c r="S280" s="63">
        <f t="shared" si="267"/>
        <v>0</v>
      </c>
      <c r="T280" s="63">
        <f t="shared" si="267"/>
        <v>0</v>
      </c>
      <c r="U280" s="63">
        <f t="shared" si="267"/>
        <v>0</v>
      </c>
      <c r="V280" s="63">
        <f t="shared" si="267"/>
        <v>0</v>
      </c>
      <c r="W280" s="63">
        <f t="shared" si="267"/>
        <v>0</v>
      </c>
      <c r="X280" s="63">
        <f t="shared" si="267"/>
        <v>0</v>
      </c>
      <c r="Y280" s="63">
        <f t="shared" si="267"/>
        <v>0</v>
      </c>
      <c r="Z280" s="63">
        <f t="shared" si="267"/>
        <v>0</v>
      </c>
      <c r="AB280" s="36"/>
      <c r="AC280" s="36"/>
      <c r="AD280" s="36"/>
    </row>
    <row r="281" spans="1:32" ht="12.75" customHeight="1" x14ac:dyDescent="0.2">
      <c r="A281" s="109" t="s">
        <v>120</v>
      </c>
      <c r="B281" s="109">
        <f>ship_plot</f>
        <v>0</v>
      </c>
      <c r="C281" s="110">
        <f>scenario_display</f>
        <v>0</v>
      </c>
      <c r="D281" s="111">
        <f t="shared" ref="D281:Z281" si="268">IF(scenario_display="Low",D278,IF(scenario_display="Medium",D279,D280))</f>
        <v>0</v>
      </c>
      <c r="E281" s="111">
        <f t="shared" si="268"/>
        <v>0</v>
      </c>
      <c r="F281" s="111">
        <f t="shared" si="268"/>
        <v>0</v>
      </c>
      <c r="G281" s="111">
        <f t="shared" si="268"/>
        <v>0</v>
      </c>
      <c r="H281" s="111">
        <f t="shared" si="268"/>
        <v>0</v>
      </c>
      <c r="I281" s="111">
        <f t="shared" si="268"/>
        <v>0</v>
      </c>
      <c r="J281" s="111">
        <f t="shared" si="268"/>
        <v>0</v>
      </c>
      <c r="K281" s="111">
        <f t="shared" si="268"/>
        <v>0</v>
      </c>
      <c r="L281" s="111">
        <f t="shared" si="268"/>
        <v>0</v>
      </c>
      <c r="M281" s="111">
        <f t="shared" si="268"/>
        <v>0</v>
      </c>
      <c r="N281" s="111">
        <f t="shared" si="268"/>
        <v>0</v>
      </c>
      <c r="O281" s="111">
        <f t="shared" si="268"/>
        <v>0</v>
      </c>
      <c r="P281" s="111">
        <f t="shared" si="268"/>
        <v>0</v>
      </c>
      <c r="Q281" s="111">
        <f t="shared" si="268"/>
        <v>0</v>
      </c>
      <c r="R281" s="111">
        <f t="shared" si="268"/>
        <v>0</v>
      </c>
      <c r="S281" s="111">
        <f t="shared" si="268"/>
        <v>0</v>
      </c>
      <c r="T281" s="111">
        <f t="shared" si="268"/>
        <v>0</v>
      </c>
      <c r="U281" s="111">
        <f t="shared" si="268"/>
        <v>0</v>
      </c>
      <c r="V281" s="111">
        <f t="shared" si="268"/>
        <v>0</v>
      </c>
      <c r="W281" s="111">
        <f t="shared" si="268"/>
        <v>0</v>
      </c>
      <c r="X281" s="111">
        <f t="shared" si="268"/>
        <v>0</v>
      </c>
      <c r="Y281" s="111">
        <f t="shared" si="268"/>
        <v>0</v>
      </c>
      <c r="Z281" s="111">
        <f t="shared" si="268"/>
        <v>0</v>
      </c>
      <c r="AA281" s="112"/>
    </row>
    <row r="282" spans="1:32" x14ac:dyDescent="0.2">
      <c r="A282" s="248" t="s">
        <v>108</v>
      </c>
      <c r="B282" s="248">
        <f>ship1</f>
        <v>0</v>
      </c>
      <c r="C282" s="30" t="s">
        <v>17</v>
      </c>
      <c r="D282" s="56">
        <f>-capex_ship1*10^6+$D238</f>
        <v>0</v>
      </c>
      <c r="E282" s="56">
        <f>-capex_ship1*10^6+$D238+NPV(dr_lo_ship1,$E238:E238)</f>
        <v>0</v>
      </c>
      <c r="F282" s="56">
        <f>-capex_ship1*10^6+$D238+NPV(dr_lo_ship1,$E238:F238)</f>
        <v>0</v>
      </c>
      <c r="G282" s="56">
        <f>-capex_ship1*10^6+$D238+NPV(dr_lo_ship1,$E238:G238)</f>
        <v>0</v>
      </c>
      <c r="H282" s="56">
        <f>-capex_ship1*10^6+$D238+NPV(dr_lo_ship1,$E238:H238)</f>
        <v>0</v>
      </c>
      <c r="I282" s="56">
        <f>-capex_ship1*10^6+$D238+NPV(dr_lo_ship1,$E238:I238)</f>
        <v>0</v>
      </c>
      <c r="J282" s="56">
        <f>-capex_ship1*10^6+$D238+NPV(dr_lo_ship1,$E238:J238)</f>
        <v>0</v>
      </c>
      <c r="K282" s="56">
        <f>-capex_ship1*10^6+$D238+NPV(dr_lo_ship1,$E238:K238)</f>
        <v>0</v>
      </c>
      <c r="L282" s="56">
        <f>-capex_ship1*10^6+$D238+NPV(dr_lo_ship1,$E238:L238)</f>
        <v>0</v>
      </c>
      <c r="M282" s="56">
        <f>-capex_ship1*10^6+$D238+NPV(dr_lo_ship1,$E238:M238)</f>
        <v>0</v>
      </c>
      <c r="N282" s="56">
        <f>-capex_ship1*10^6+$D238+NPV(dr_lo_ship1,$E238:N238)</f>
        <v>0</v>
      </c>
      <c r="O282" s="56">
        <f>-capex_ship1*10^6+$D238+NPV(dr_lo_ship1,$E238:O238)</f>
        <v>0</v>
      </c>
      <c r="P282" s="56">
        <f>-capex_ship1*10^6+$D238+NPV(dr_lo_ship1,$E238:P238)</f>
        <v>0</v>
      </c>
      <c r="Q282" s="56">
        <f>-capex_ship1*10^6+$D238+NPV(dr_lo_ship1,$E238:Q238)</f>
        <v>0</v>
      </c>
      <c r="R282" s="56">
        <f>-capex_ship1*10^6+$D238+NPV(dr_lo_ship1,$E238:R238)</f>
        <v>0</v>
      </c>
      <c r="S282" s="56">
        <f>-capex_ship1*10^6+$D238+NPV(dr_lo_ship1,$E238:S238)</f>
        <v>0</v>
      </c>
      <c r="T282" s="56">
        <f>-capex_ship1*10^6+$D238+NPV(dr_lo_ship1,$E238:T238)</f>
        <v>0</v>
      </c>
      <c r="U282" s="56">
        <f>-capex_ship1*10^6+$D238+NPV(dr_lo_ship1,$E238:U238)</f>
        <v>0</v>
      </c>
      <c r="V282" s="56">
        <f>-capex_ship1*10^6+$D238+NPV(dr_lo_ship1,$E238:V238)</f>
        <v>0</v>
      </c>
      <c r="W282" s="56">
        <f>-capex_ship1*10^6+$D238+NPV(dr_lo_ship1,$E238:W238)</f>
        <v>0</v>
      </c>
      <c r="X282" s="56">
        <f>-capex_ship1*10^6+$D238+NPV(dr_lo_ship1,$E238:X238)</f>
        <v>0</v>
      </c>
      <c r="Y282" s="56">
        <f>-capex_ship1*10^6+$D238+NPV(dr_lo_ship1,$E238:Y238)</f>
        <v>0</v>
      </c>
      <c r="Z282" s="56">
        <f>-capex_ship1*10^6+$D238+NPV(dr_lo_ship1,$E238:Z238)</f>
        <v>0</v>
      </c>
    </row>
    <row r="283" spans="1:32" x14ac:dyDescent="0.2">
      <c r="A283" s="248"/>
      <c r="B283" s="248"/>
      <c r="C283" s="30" t="s">
        <v>18</v>
      </c>
      <c r="D283" s="60">
        <f>-capex_ship1*10^6+$D239</f>
        <v>0</v>
      </c>
      <c r="E283" s="60">
        <f>-capex_ship1*10^6+$D239+NPV(dr_med_ship1,$E239:E239)</f>
        <v>0</v>
      </c>
      <c r="F283" s="60">
        <f>-capex_ship1*10^6+$D239+NPV(dr_med_ship1,$E239:F239)</f>
        <v>0</v>
      </c>
      <c r="G283" s="60">
        <f>-capex_ship1*10^6+$D239+NPV(dr_med_ship1,$E239:G239)</f>
        <v>0</v>
      </c>
      <c r="H283" s="60">
        <f>-capex_ship1*10^6+$D239+NPV(dr_med_ship1,$E239:H239)</f>
        <v>0</v>
      </c>
      <c r="I283" s="60">
        <f>-capex_ship1*10^6+$D239+NPV(dr_med_ship1,$E239:I239)</f>
        <v>0</v>
      </c>
      <c r="J283" s="60">
        <f>-capex_ship1*10^6+$D239+NPV(dr_med_ship1,$E239:J239)</f>
        <v>0</v>
      </c>
      <c r="K283" s="60">
        <f>-capex_ship1*10^6+$D239+NPV(dr_med_ship1,$E239:K239)</f>
        <v>0</v>
      </c>
      <c r="L283" s="60">
        <f>-capex_ship1*10^6+$D239+NPV(dr_med_ship1,$E239:L239)</f>
        <v>0</v>
      </c>
      <c r="M283" s="60">
        <f>-capex_ship1*10^6+$D239+NPV(dr_med_ship1,$E239:M239)</f>
        <v>0</v>
      </c>
      <c r="N283" s="60">
        <f>-capex_ship1*10^6+$D239+NPV(dr_med_ship1,$E239:N239)</f>
        <v>0</v>
      </c>
      <c r="O283" s="60">
        <f>-capex_ship1*10^6+$D239+NPV(dr_med_ship1,$E239:O239)</f>
        <v>0</v>
      </c>
      <c r="P283" s="60">
        <f>-capex_ship1*10^6+$D239+NPV(dr_med_ship1,$E239:P239)</f>
        <v>0</v>
      </c>
      <c r="Q283" s="60">
        <f>-capex_ship1*10^6+$D239+NPV(dr_med_ship1,$E239:Q239)</f>
        <v>0</v>
      </c>
      <c r="R283" s="60">
        <f>-capex_ship1*10^6+$D239+NPV(dr_med_ship1,$E239:R239)</f>
        <v>0</v>
      </c>
      <c r="S283" s="60">
        <f>-capex_ship1*10^6+$D239+NPV(dr_med_ship1,$E239:S239)</f>
        <v>0</v>
      </c>
      <c r="T283" s="60">
        <f>-capex_ship1*10^6+$D239+NPV(dr_med_ship1,$E239:T239)</f>
        <v>0</v>
      </c>
      <c r="U283" s="60">
        <f>-capex_ship1*10^6+$D239+NPV(dr_med_ship1,$E239:U239)</f>
        <v>0</v>
      </c>
      <c r="V283" s="60">
        <f>-capex_ship1*10^6+$D239+NPV(dr_med_ship1,$E239:V239)</f>
        <v>0</v>
      </c>
      <c r="W283" s="60">
        <f>-capex_ship1*10^6+$D239+NPV(dr_med_ship1,$E239:W239)</f>
        <v>0</v>
      </c>
      <c r="X283" s="60">
        <f>-capex_ship1*10^6+$D239+NPV(dr_med_ship1,$E239:X239)</f>
        <v>0</v>
      </c>
      <c r="Y283" s="60">
        <f>-capex_ship1*10^6+$D239+NPV(dr_med_ship1,$E239:Y239)</f>
        <v>0</v>
      </c>
      <c r="Z283" s="60">
        <f>-capex_ship1*10^6+$D239+NPV(dr_med_ship1,$E239:Z239)</f>
        <v>0</v>
      </c>
    </row>
    <row r="284" spans="1:32" x14ac:dyDescent="0.2">
      <c r="A284" s="248"/>
      <c r="B284" s="248"/>
      <c r="C284" s="30" t="s">
        <v>19</v>
      </c>
      <c r="D284" s="63">
        <f>-capex_ship1*10^6+$D240</f>
        <v>0</v>
      </c>
      <c r="E284" s="63">
        <f>-capex_ship1*10^6+$D240+NPV(dr_hi_ship1,$E240:E240)</f>
        <v>0</v>
      </c>
      <c r="F284" s="63">
        <f>-capex_ship1*10^6+$D240+NPV(dr_hi_ship1,$E240:F240)</f>
        <v>0</v>
      </c>
      <c r="G284" s="63">
        <f>-capex_ship1*10^6+$D240+NPV(dr_hi_ship1,$E240:G240)</f>
        <v>0</v>
      </c>
      <c r="H284" s="63">
        <f>-capex_ship1*10^6+$D240+NPV(dr_hi_ship1,$E240:H240)</f>
        <v>0</v>
      </c>
      <c r="I284" s="63">
        <f>-capex_ship1*10^6+$D240+NPV(dr_hi_ship1,$E240:I240)</f>
        <v>0</v>
      </c>
      <c r="J284" s="63">
        <f>-capex_ship1*10^6+$D240+NPV(dr_hi_ship1,$E240:J240)</f>
        <v>0</v>
      </c>
      <c r="K284" s="63">
        <f>-capex_ship1*10^6+$D240+NPV(dr_hi_ship1,$E240:K240)</f>
        <v>0</v>
      </c>
      <c r="L284" s="63">
        <f>-capex_ship1*10^6+$D240+NPV(dr_hi_ship1,$E240:L240)</f>
        <v>0</v>
      </c>
      <c r="M284" s="63">
        <f>-capex_ship1*10^6+$D240+NPV(dr_hi_ship1,$E240:M240)</f>
        <v>0</v>
      </c>
      <c r="N284" s="63">
        <f>-capex_ship1*10^6+$D240+NPV(dr_hi_ship1,$E240:N240)</f>
        <v>0</v>
      </c>
      <c r="O284" s="63">
        <f>-capex_ship1*10^6+$D240+NPV(dr_hi_ship1,$E240:O240)</f>
        <v>0</v>
      </c>
      <c r="P284" s="63">
        <f>-capex_ship1*10^6+$D240+NPV(dr_hi_ship1,$E240:P240)</f>
        <v>0</v>
      </c>
      <c r="Q284" s="63">
        <f>-capex_ship1*10^6+$D240+NPV(dr_hi_ship1,$E240:Q240)</f>
        <v>0</v>
      </c>
      <c r="R284" s="63">
        <f>-capex_ship1*10^6+$D240+NPV(dr_hi_ship1,$E240:R240)</f>
        <v>0</v>
      </c>
      <c r="S284" s="63">
        <f>-capex_ship1*10^6+$D240+NPV(dr_hi_ship1,$E240:S240)</f>
        <v>0</v>
      </c>
      <c r="T284" s="63">
        <f>-capex_ship1*10^6+$D240+NPV(dr_hi_ship1,$E240:T240)</f>
        <v>0</v>
      </c>
      <c r="U284" s="63">
        <f>-capex_ship1*10^6+$D240+NPV(dr_hi_ship1,$E240:U240)</f>
        <v>0</v>
      </c>
      <c r="V284" s="63">
        <f>-capex_ship1*10^6+$D240+NPV(dr_hi_ship1,$E240:V240)</f>
        <v>0</v>
      </c>
      <c r="W284" s="63">
        <f>-capex_ship1*10^6+$D240+NPV(dr_hi_ship1,$E240:W240)</f>
        <v>0</v>
      </c>
      <c r="X284" s="63">
        <f>-capex_ship1*10^6+$D240+NPV(dr_hi_ship1,$E240:X240)</f>
        <v>0</v>
      </c>
      <c r="Y284" s="63">
        <f>-capex_ship1*10^6+$D240+NPV(dr_hi_ship1,$E240:Y240)</f>
        <v>0</v>
      </c>
      <c r="Z284" s="63">
        <f>-capex_ship1*10^6+$D240+NPV(dr_hi_ship1,$E240:Z240)</f>
        <v>0</v>
      </c>
      <c r="AF284" s="108"/>
    </row>
    <row r="285" spans="1:32" x14ac:dyDescent="0.2">
      <c r="A285" s="248"/>
      <c r="B285" s="248">
        <f>ship2</f>
        <v>0</v>
      </c>
      <c r="C285" s="30" t="s">
        <v>17</v>
      </c>
      <c r="D285" s="56">
        <f>-capex_ship2*10^6+$D241</f>
        <v>0</v>
      </c>
      <c r="E285" s="56">
        <f>-capex_ship2*10^6+$D241+NPV(dr_lo_ship2,$E241:E241)</f>
        <v>0</v>
      </c>
      <c r="F285" s="56">
        <f>-capex_ship2*10^6+$D241+NPV(dr_lo_ship2,$E241:F241)</f>
        <v>0</v>
      </c>
      <c r="G285" s="56">
        <f>-capex_ship2*10^6+$D241+NPV(dr_lo_ship2,$E241:G241)</f>
        <v>0</v>
      </c>
      <c r="H285" s="56">
        <f>-capex_ship2*10^6+$D241+NPV(dr_lo_ship2,$E241:H241)</f>
        <v>0</v>
      </c>
      <c r="I285" s="56">
        <f>-capex_ship2*10^6+$D241+NPV(dr_lo_ship2,$E241:I241)</f>
        <v>0</v>
      </c>
      <c r="J285" s="56">
        <f>-capex_ship2*10^6+$D241+NPV(dr_lo_ship2,$E241:J241)</f>
        <v>0</v>
      </c>
      <c r="K285" s="56">
        <f>-capex_ship2*10^6+$D241+NPV(dr_lo_ship2,$E241:K241)</f>
        <v>0</v>
      </c>
      <c r="L285" s="56">
        <f>-capex_ship2*10^6+$D241+NPV(dr_lo_ship2,$E241:L241)</f>
        <v>0</v>
      </c>
      <c r="M285" s="56">
        <f>-capex_ship2*10^6+$D241+NPV(dr_lo_ship2,$E241:M241)</f>
        <v>0</v>
      </c>
      <c r="N285" s="56">
        <f>-capex_ship2*10^6+$D241+NPV(dr_lo_ship2,$E241:N241)</f>
        <v>0</v>
      </c>
      <c r="O285" s="56">
        <f>-capex_ship2*10^6+$D241+NPV(dr_lo_ship2,$E241:O241)</f>
        <v>0</v>
      </c>
      <c r="P285" s="56">
        <f>-capex_ship2*10^6+$D241+NPV(dr_lo_ship2,$E241:P241)</f>
        <v>0</v>
      </c>
      <c r="Q285" s="56">
        <f>-capex_ship2*10^6+$D241+NPV(dr_lo_ship2,$E241:Q241)</f>
        <v>0</v>
      </c>
      <c r="R285" s="56">
        <f>-capex_ship2*10^6+$D241+NPV(dr_lo_ship2,$E241:R241)</f>
        <v>0</v>
      </c>
      <c r="S285" s="56">
        <f>-capex_ship2*10^6+$D241+NPV(dr_lo_ship2,$E241:S241)</f>
        <v>0</v>
      </c>
      <c r="T285" s="56">
        <f>-capex_ship2*10^6+$D241+NPV(dr_lo_ship2,$E241:T241)</f>
        <v>0</v>
      </c>
      <c r="U285" s="56">
        <f>-capex_ship2*10^6+$D241+NPV(dr_lo_ship2,$E241:U241)</f>
        <v>0</v>
      </c>
      <c r="V285" s="56">
        <f>-capex_ship2*10^6+$D241+NPV(dr_lo_ship2,$E241:V241)</f>
        <v>0</v>
      </c>
      <c r="W285" s="56">
        <f>-capex_ship2*10^6+$D241+NPV(dr_lo_ship2,$E241:W241)</f>
        <v>0</v>
      </c>
      <c r="X285" s="56">
        <f>-capex_ship2*10^6+$D241+NPV(dr_lo_ship2,$E241:X241)</f>
        <v>0</v>
      </c>
      <c r="Y285" s="56">
        <f>-capex_ship2*10^6+$D241+NPV(dr_lo_ship2,$E241:Y241)</f>
        <v>0</v>
      </c>
      <c r="Z285" s="56">
        <f>-capex_ship2*10^6+$D241+NPV(dr_lo_ship2,$E241:Z241)</f>
        <v>0</v>
      </c>
    </row>
    <row r="286" spans="1:32" x14ac:dyDescent="0.2">
      <c r="A286" s="248"/>
      <c r="B286" s="248"/>
      <c r="C286" s="30" t="s">
        <v>18</v>
      </c>
      <c r="D286" s="60">
        <f>-capex_ship2*10^6+$D242</f>
        <v>0</v>
      </c>
      <c r="E286" s="60">
        <f>-capex_ship2*10^6+$D242+NPV(dr_med_ship2,$E242:E242)</f>
        <v>0</v>
      </c>
      <c r="F286" s="60">
        <f>-capex_ship2*10^6+$D242+NPV(dr_med_ship2,$E242:F242)</f>
        <v>0</v>
      </c>
      <c r="G286" s="60">
        <f>-capex_ship2*10^6+$D242+NPV(dr_med_ship2,$E242:G242)</f>
        <v>0</v>
      </c>
      <c r="H286" s="60">
        <f>-capex_ship2*10^6+$D242+NPV(dr_med_ship2,$E242:H242)</f>
        <v>0</v>
      </c>
      <c r="I286" s="60">
        <f>-capex_ship2*10^6+$D242+NPV(dr_med_ship2,$E242:I242)</f>
        <v>0</v>
      </c>
      <c r="J286" s="60">
        <f>-capex_ship2*10^6+$D242+NPV(dr_med_ship2,$E242:J242)</f>
        <v>0</v>
      </c>
      <c r="K286" s="60">
        <f>-capex_ship2*10^6+$D242+NPV(dr_med_ship2,$E242:K242)</f>
        <v>0</v>
      </c>
      <c r="L286" s="60">
        <f>-capex_ship2*10^6+$D242+NPV(dr_med_ship2,$E242:L242)</f>
        <v>0</v>
      </c>
      <c r="M286" s="60">
        <f>-capex_ship2*10^6+$D242+NPV(dr_med_ship2,$E242:M242)</f>
        <v>0</v>
      </c>
      <c r="N286" s="60">
        <f>-capex_ship2*10^6+$D242+NPV(dr_med_ship2,$E242:N242)</f>
        <v>0</v>
      </c>
      <c r="O286" s="60">
        <f>-capex_ship2*10^6+$D242+NPV(dr_med_ship2,$E242:O242)</f>
        <v>0</v>
      </c>
      <c r="P286" s="60">
        <f>-capex_ship2*10^6+$D242+NPV(dr_med_ship2,$E242:P242)</f>
        <v>0</v>
      </c>
      <c r="Q286" s="60">
        <f>-capex_ship2*10^6+$D242+NPV(dr_med_ship2,$E242:Q242)</f>
        <v>0</v>
      </c>
      <c r="R286" s="60">
        <f>-capex_ship2*10^6+$D242+NPV(dr_med_ship2,$E242:R242)</f>
        <v>0</v>
      </c>
      <c r="S286" s="60">
        <f>-capex_ship2*10^6+$D242+NPV(dr_med_ship2,$E242:S242)</f>
        <v>0</v>
      </c>
      <c r="T286" s="60">
        <f>-capex_ship2*10^6+$D242+NPV(dr_med_ship2,$E242:T242)</f>
        <v>0</v>
      </c>
      <c r="U286" s="60">
        <f>-capex_ship2*10^6+$D242+NPV(dr_med_ship2,$E242:U242)</f>
        <v>0</v>
      </c>
      <c r="V286" s="60">
        <f>-capex_ship2*10^6+$D242+NPV(dr_med_ship2,$E242:V242)</f>
        <v>0</v>
      </c>
      <c r="W286" s="60">
        <f>-capex_ship2*10^6+$D242+NPV(dr_med_ship2,$E242:W242)</f>
        <v>0</v>
      </c>
      <c r="X286" s="60">
        <f>-capex_ship2*10^6+$D242+NPV(dr_med_ship2,$E242:X242)</f>
        <v>0</v>
      </c>
      <c r="Y286" s="60">
        <f>-capex_ship2*10^6+$D242+NPV(dr_med_ship2,$E242:Y242)</f>
        <v>0</v>
      </c>
      <c r="Z286" s="60">
        <f>-capex_ship2*10^6+$D242+NPV(dr_med_ship2,$E242:Z242)</f>
        <v>0</v>
      </c>
    </row>
    <row r="287" spans="1:32" x14ac:dyDescent="0.2">
      <c r="A287" s="248"/>
      <c r="B287" s="248"/>
      <c r="C287" s="30" t="s">
        <v>19</v>
      </c>
      <c r="D287" s="63">
        <f>-capex_ship2*10^6+$D243</f>
        <v>0</v>
      </c>
      <c r="E287" s="63">
        <f>-capex_ship2*10^6+$D243+NPV(dr_hi_ship2,$E243:E243)</f>
        <v>0</v>
      </c>
      <c r="F287" s="63">
        <f>-capex_ship2*10^6+$D243+NPV(dr_hi_ship2,$E243:F243)</f>
        <v>0</v>
      </c>
      <c r="G287" s="63">
        <f>-capex_ship2*10^6+$D243+NPV(dr_hi_ship2,$E243:G243)</f>
        <v>0</v>
      </c>
      <c r="H287" s="63">
        <f>-capex_ship2*10^6+$D243+NPV(dr_hi_ship2,$E243:H243)</f>
        <v>0</v>
      </c>
      <c r="I287" s="63">
        <f>-capex_ship2*10^6+$D243+NPV(dr_hi_ship2,$E243:I243)</f>
        <v>0</v>
      </c>
      <c r="J287" s="63">
        <f>-capex_ship2*10^6+$D243+NPV(dr_hi_ship2,$E243:J243)</f>
        <v>0</v>
      </c>
      <c r="K287" s="63">
        <f>-capex_ship2*10^6+$D243+NPV(dr_hi_ship2,$E243:K243)</f>
        <v>0</v>
      </c>
      <c r="L287" s="63">
        <f>-capex_ship2*10^6+$D243+NPV(dr_hi_ship2,$E243:L243)</f>
        <v>0</v>
      </c>
      <c r="M287" s="63">
        <f>-capex_ship2*10^6+$D243+NPV(dr_hi_ship2,$E243:M243)</f>
        <v>0</v>
      </c>
      <c r="N287" s="63">
        <f>-capex_ship2*10^6+$D243+NPV(dr_hi_ship2,$E243:N243)</f>
        <v>0</v>
      </c>
      <c r="O287" s="63">
        <f>-capex_ship2*10^6+$D243+NPV(dr_hi_ship2,$E243:O243)</f>
        <v>0</v>
      </c>
      <c r="P287" s="63">
        <f>-capex_ship2*10^6+$D243+NPV(dr_hi_ship2,$E243:P243)</f>
        <v>0</v>
      </c>
      <c r="Q287" s="63">
        <f>-capex_ship2*10^6+$D243+NPV(dr_hi_ship2,$E243:Q243)</f>
        <v>0</v>
      </c>
      <c r="R287" s="63">
        <f>-capex_ship2*10^6+$D243+NPV(dr_hi_ship2,$E243:R243)</f>
        <v>0</v>
      </c>
      <c r="S287" s="63">
        <f>-capex_ship2*10^6+$D243+NPV(dr_hi_ship2,$E243:S243)</f>
        <v>0</v>
      </c>
      <c r="T287" s="63">
        <f>-capex_ship2*10^6+$D243+NPV(dr_hi_ship2,$E243:T243)</f>
        <v>0</v>
      </c>
      <c r="U287" s="63">
        <f>-capex_ship2*10^6+$D243+NPV(dr_hi_ship2,$E243:U243)</f>
        <v>0</v>
      </c>
      <c r="V287" s="63">
        <f>-capex_ship2*10^6+$D243+NPV(dr_hi_ship2,$E243:V243)</f>
        <v>0</v>
      </c>
      <c r="W287" s="63">
        <f>-capex_ship2*10^6+$D243+NPV(dr_hi_ship2,$E243:W243)</f>
        <v>0</v>
      </c>
      <c r="X287" s="63">
        <f>-capex_ship2*10^6+$D243+NPV(dr_hi_ship2,$E243:X243)</f>
        <v>0</v>
      </c>
      <c r="Y287" s="63">
        <f>-capex_ship2*10^6+$D243+NPV(dr_hi_ship2,$E243:Y243)</f>
        <v>0</v>
      </c>
      <c r="Z287" s="63">
        <f>-capex_ship2*10^6+$D243+NPV(dr_hi_ship2,$E243:Z243)</f>
        <v>0</v>
      </c>
    </row>
    <row r="288" spans="1:32" x14ac:dyDescent="0.2">
      <c r="A288" s="248"/>
      <c r="B288" s="248">
        <f>ship3</f>
        <v>0</v>
      </c>
      <c r="C288" s="30" t="s">
        <v>17</v>
      </c>
      <c r="D288" s="56">
        <f>-capex_ship3*10^6+$D244</f>
        <v>0</v>
      </c>
      <c r="E288" s="56">
        <f>-capex_ship3*10^6+$D244+NPV(dr_lo_ship3,$E244:E244)</f>
        <v>0</v>
      </c>
      <c r="F288" s="56">
        <f>-capex_ship3*10^6+$D244+NPV(dr_lo_ship3,$E244:F244)</f>
        <v>0</v>
      </c>
      <c r="G288" s="56">
        <f>-capex_ship3*10^6+$D244+NPV(dr_lo_ship3,$E244:G244)</f>
        <v>0</v>
      </c>
      <c r="H288" s="56">
        <f>-capex_ship3*10^6+$D244+NPV(dr_lo_ship3,$E244:H244)</f>
        <v>0</v>
      </c>
      <c r="I288" s="56">
        <f>-capex_ship3*10^6+$D244+NPV(dr_lo_ship3,$E244:I244)</f>
        <v>0</v>
      </c>
      <c r="J288" s="56">
        <f>-capex_ship3*10^6+$D244+NPV(dr_lo_ship3,$E244:J244)</f>
        <v>0</v>
      </c>
      <c r="K288" s="56">
        <f>-capex_ship3*10^6+$D244+NPV(dr_lo_ship3,$E244:K244)</f>
        <v>0</v>
      </c>
      <c r="L288" s="56">
        <f>-capex_ship3*10^6+$D244+NPV(dr_lo_ship3,$E244:L244)</f>
        <v>0</v>
      </c>
      <c r="M288" s="56">
        <f>-capex_ship3*10^6+$D244+NPV(dr_lo_ship3,$E244:M244)</f>
        <v>0</v>
      </c>
      <c r="N288" s="56">
        <f>-capex_ship3*10^6+$D244+NPV(dr_lo_ship3,$E244:N244)</f>
        <v>0</v>
      </c>
      <c r="O288" s="56">
        <f>-capex_ship3*10^6+$D244+NPV(dr_lo_ship3,$E244:O244)</f>
        <v>0</v>
      </c>
      <c r="P288" s="56">
        <f>-capex_ship3*10^6+$D244+NPV(dr_lo_ship3,$E244:P244)</f>
        <v>0</v>
      </c>
      <c r="Q288" s="56">
        <f>-capex_ship3*10^6+$D244+NPV(dr_lo_ship3,$E244:Q244)</f>
        <v>0</v>
      </c>
      <c r="R288" s="56">
        <f>-capex_ship3*10^6+$D244+NPV(dr_lo_ship3,$E244:R244)</f>
        <v>0</v>
      </c>
      <c r="S288" s="56">
        <f>-capex_ship3*10^6+$D244+NPV(dr_lo_ship3,$E244:S244)</f>
        <v>0</v>
      </c>
      <c r="T288" s="56">
        <f>-capex_ship3*10^6+$D244+NPV(dr_lo_ship3,$E244:T244)</f>
        <v>0</v>
      </c>
      <c r="U288" s="56">
        <f>-capex_ship3*10^6+$D244+NPV(dr_lo_ship3,$E244:U244)</f>
        <v>0</v>
      </c>
      <c r="V288" s="56">
        <f>-capex_ship3*10^6+$D244+NPV(dr_lo_ship3,$E244:V244)</f>
        <v>0</v>
      </c>
      <c r="W288" s="56">
        <f>-capex_ship3*10^6+$D244+NPV(dr_lo_ship3,$E244:W244)</f>
        <v>0</v>
      </c>
      <c r="X288" s="56">
        <f>-capex_ship3*10^6+$D244+NPV(dr_lo_ship3,$E244:X244)</f>
        <v>0</v>
      </c>
      <c r="Y288" s="56">
        <f>-capex_ship3*10^6+$D244+NPV(dr_lo_ship3,$E244:Y244)</f>
        <v>0</v>
      </c>
      <c r="Z288" s="56">
        <f>-capex_ship3*10^6+$D244+NPV(dr_lo_ship3,$E244:Z244)</f>
        <v>0</v>
      </c>
    </row>
    <row r="289" spans="1:26" x14ac:dyDescent="0.2">
      <c r="A289" s="248"/>
      <c r="B289" s="248"/>
      <c r="C289" s="30" t="s">
        <v>18</v>
      </c>
      <c r="D289" s="60">
        <f>-capex_ship3*10^6+$D245</f>
        <v>0</v>
      </c>
      <c r="E289" s="60">
        <f>-capex_ship3*10^6+$D245+NPV(dr_med_ship3,$E245:E245)</f>
        <v>0</v>
      </c>
      <c r="F289" s="60">
        <f>-capex_ship3*10^6+$D245+NPV(dr_med_ship3,$E245:F245)</f>
        <v>0</v>
      </c>
      <c r="G289" s="60">
        <f>-capex_ship3*10^6+$D245+NPV(dr_med_ship3,$E245:G245)</f>
        <v>0</v>
      </c>
      <c r="H289" s="60">
        <f>-capex_ship3*10^6+$D245+NPV(dr_med_ship3,$E245:H245)</f>
        <v>0</v>
      </c>
      <c r="I289" s="60">
        <f>-capex_ship3*10^6+$D245+NPV(dr_med_ship3,$E245:I245)</f>
        <v>0</v>
      </c>
      <c r="J289" s="60">
        <f>-capex_ship3*10^6+$D245+NPV(dr_med_ship3,$E245:J245)</f>
        <v>0</v>
      </c>
      <c r="K289" s="60">
        <f>-capex_ship3*10^6+$D245+NPV(dr_med_ship3,$E245:K245)</f>
        <v>0</v>
      </c>
      <c r="L289" s="60">
        <f>-capex_ship3*10^6+$D245+NPV(dr_med_ship3,$E245:L245)</f>
        <v>0</v>
      </c>
      <c r="M289" s="60">
        <f>-capex_ship3*10^6+$D245+NPV(dr_med_ship3,$E245:M245)</f>
        <v>0</v>
      </c>
      <c r="N289" s="60">
        <f>-capex_ship3*10^6+$D245+NPV(dr_med_ship3,$E245:N245)</f>
        <v>0</v>
      </c>
      <c r="O289" s="60">
        <f>-capex_ship3*10^6+$D245+NPV(dr_med_ship3,$E245:O245)</f>
        <v>0</v>
      </c>
      <c r="P289" s="60">
        <f>-capex_ship3*10^6+$D245+NPV(dr_med_ship3,$E245:P245)</f>
        <v>0</v>
      </c>
      <c r="Q289" s="60">
        <f>-capex_ship3*10^6+$D245+NPV(dr_med_ship3,$E245:Q245)</f>
        <v>0</v>
      </c>
      <c r="R289" s="60">
        <f>-capex_ship3*10^6+$D245+NPV(dr_med_ship3,$E245:R245)</f>
        <v>0</v>
      </c>
      <c r="S289" s="60">
        <f>-capex_ship3*10^6+$D245+NPV(dr_med_ship3,$E245:S245)</f>
        <v>0</v>
      </c>
      <c r="T289" s="60">
        <f>-capex_ship3*10^6+$D245+NPV(dr_med_ship3,$E245:T245)</f>
        <v>0</v>
      </c>
      <c r="U289" s="60">
        <f>-capex_ship3*10^6+$D245+NPV(dr_med_ship3,$E245:U245)</f>
        <v>0</v>
      </c>
      <c r="V289" s="60">
        <f>-capex_ship3*10^6+$D245+NPV(dr_med_ship3,$E245:V245)</f>
        <v>0</v>
      </c>
      <c r="W289" s="60">
        <f>-capex_ship3*10^6+$D245+NPV(dr_med_ship3,$E245:W245)</f>
        <v>0</v>
      </c>
      <c r="X289" s="60">
        <f>-capex_ship3*10^6+$D245+NPV(dr_med_ship3,$E245:X245)</f>
        <v>0</v>
      </c>
      <c r="Y289" s="60">
        <f>-capex_ship3*10^6+$D245+NPV(dr_med_ship3,$E245:Y245)</f>
        <v>0</v>
      </c>
      <c r="Z289" s="60">
        <f>-capex_ship3*10^6+$D245+NPV(dr_med_ship3,$E245:Z245)</f>
        <v>0</v>
      </c>
    </row>
    <row r="290" spans="1:26" x14ac:dyDescent="0.2">
      <c r="A290" s="248"/>
      <c r="B290" s="248"/>
      <c r="C290" s="30" t="s">
        <v>19</v>
      </c>
      <c r="D290" s="63">
        <f>-capex_ship3*10^6+$D246</f>
        <v>0</v>
      </c>
      <c r="E290" s="63">
        <f>-capex_ship3*10^6+$D246+NPV(dr_hi_ship3,$E246:E246)</f>
        <v>0</v>
      </c>
      <c r="F290" s="63">
        <f>-capex_ship3*10^6+$D246+NPV(dr_hi_ship3,$E246:F246)</f>
        <v>0</v>
      </c>
      <c r="G290" s="63">
        <f>-capex_ship3*10^6+$D246+NPV(dr_hi_ship3,$E246:G246)</f>
        <v>0</v>
      </c>
      <c r="H290" s="63">
        <f>-capex_ship3*10^6+$D246+NPV(dr_hi_ship3,$E246:H246)</f>
        <v>0</v>
      </c>
      <c r="I290" s="63">
        <f>-capex_ship3*10^6+$D246+NPV(dr_hi_ship3,$E246:I246)</f>
        <v>0</v>
      </c>
      <c r="J290" s="63">
        <f>-capex_ship3*10^6+$D246+NPV(dr_hi_ship3,$E246:J246)</f>
        <v>0</v>
      </c>
      <c r="K290" s="63">
        <f>-capex_ship3*10^6+$D246+NPV(dr_hi_ship3,$E246:K246)</f>
        <v>0</v>
      </c>
      <c r="L290" s="63">
        <f>-capex_ship3*10^6+$D246+NPV(dr_hi_ship3,$E246:L246)</f>
        <v>0</v>
      </c>
      <c r="M290" s="63">
        <f>-capex_ship3*10^6+$D246+NPV(dr_hi_ship3,$E246:M246)</f>
        <v>0</v>
      </c>
      <c r="N290" s="63">
        <f>-capex_ship3*10^6+$D246+NPV(dr_hi_ship3,$E246:N246)</f>
        <v>0</v>
      </c>
      <c r="O290" s="63">
        <f>-capex_ship3*10^6+$D246+NPV(dr_hi_ship3,$E246:O246)</f>
        <v>0</v>
      </c>
      <c r="P290" s="63">
        <f>-capex_ship3*10^6+$D246+NPV(dr_hi_ship3,$E246:P246)</f>
        <v>0</v>
      </c>
      <c r="Q290" s="63">
        <f>-capex_ship3*10^6+$D246+NPV(dr_hi_ship3,$E246:Q246)</f>
        <v>0</v>
      </c>
      <c r="R290" s="63">
        <f>-capex_ship3*10^6+$D246+NPV(dr_hi_ship3,$E246:R246)</f>
        <v>0</v>
      </c>
      <c r="S290" s="63">
        <f>-capex_ship3*10^6+$D246+NPV(dr_hi_ship3,$E246:S246)</f>
        <v>0</v>
      </c>
      <c r="T290" s="63">
        <f>-capex_ship3*10^6+$D246+NPV(dr_hi_ship3,$E246:T246)</f>
        <v>0</v>
      </c>
      <c r="U290" s="63">
        <f>-capex_ship3*10^6+$D246+NPV(dr_hi_ship3,$E246:U246)</f>
        <v>0</v>
      </c>
      <c r="V290" s="63">
        <f>-capex_ship3*10^6+$D246+NPV(dr_hi_ship3,$E246:V246)</f>
        <v>0</v>
      </c>
      <c r="W290" s="63">
        <f>-capex_ship3*10^6+$D246+NPV(dr_hi_ship3,$E246:W246)</f>
        <v>0</v>
      </c>
      <c r="X290" s="63">
        <f>-capex_ship3*10^6+$D246+NPV(dr_hi_ship3,$E246:X246)</f>
        <v>0</v>
      </c>
      <c r="Y290" s="63">
        <f>-capex_ship3*10^6+$D246+NPV(dr_hi_ship3,$E246:Y246)</f>
        <v>0</v>
      </c>
      <c r="Z290" s="63">
        <f>-capex_ship3*10^6+$D246+NPV(dr_hi_ship3,$E246:Z246)</f>
        <v>0</v>
      </c>
    </row>
    <row r="291" spans="1:26" x14ac:dyDescent="0.2">
      <c r="A291" s="248"/>
      <c r="B291" s="248">
        <f>ship4</f>
        <v>0</v>
      </c>
      <c r="C291" s="30" t="s">
        <v>17</v>
      </c>
      <c r="D291" s="56">
        <f>-capex_ship4*10^6+$D247</f>
        <v>0</v>
      </c>
      <c r="E291" s="56">
        <f>-capex_ship4*10^6+$D247+NPV(dr_lo_ship4,$E247:E247)</f>
        <v>0</v>
      </c>
      <c r="F291" s="56">
        <f>-capex_ship4*10^6+$D247+NPV(dr_lo_ship4,$E247:F247)</f>
        <v>0</v>
      </c>
      <c r="G291" s="56">
        <f>-capex_ship4*10^6+$D247+NPV(dr_lo_ship4,$E247:G247)</f>
        <v>0</v>
      </c>
      <c r="H291" s="56">
        <f>-capex_ship4*10^6+$D247+NPV(dr_lo_ship4,$E247:H247)</f>
        <v>0</v>
      </c>
      <c r="I291" s="56">
        <f>-capex_ship4*10^6+$D247+NPV(dr_lo_ship4,$E247:I247)</f>
        <v>0</v>
      </c>
      <c r="J291" s="56">
        <f>-capex_ship4*10^6+$D247+NPV(dr_lo_ship4,$E247:J247)</f>
        <v>0</v>
      </c>
      <c r="K291" s="56">
        <f>-capex_ship4*10^6+$D247+NPV(dr_lo_ship4,$E247:K247)</f>
        <v>0</v>
      </c>
      <c r="L291" s="56">
        <f>-capex_ship4*10^6+$D247+NPV(dr_lo_ship4,$E247:L247)</f>
        <v>0</v>
      </c>
      <c r="M291" s="56">
        <f>-capex_ship4*10^6+$D247+NPV(dr_lo_ship4,$E247:M247)</f>
        <v>0</v>
      </c>
      <c r="N291" s="56">
        <f>-capex_ship4*10^6+$D247+NPV(dr_lo_ship4,$E247:N247)</f>
        <v>0</v>
      </c>
      <c r="O291" s="56">
        <f>-capex_ship4*10^6+$D247+NPV(dr_lo_ship4,$E247:O247)</f>
        <v>0</v>
      </c>
      <c r="P291" s="56">
        <f>-capex_ship4*10^6+$D247+NPV(dr_lo_ship4,$E247:P247)</f>
        <v>0</v>
      </c>
      <c r="Q291" s="56">
        <f>-capex_ship4*10^6+$D247+NPV(dr_lo_ship4,$E247:Q247)</f>
        <v>0</v>
      </c>
      <c r="R291" s="56">
        <f>-capex_ship4*10^6+$D247+NPV(dr_lo_ship4,$E247:R247)</f>
        <v>0</v>
      </c>
      <c r="S291" s="56">
        <f>-capex_ship4*10^6+$D247+NPV(dr_lo_ship4,$E247:S247)</f>
        <v>0</v>
      </c>
      <c r="T291" s="56">
        <f>-capex_ship4*10^6+$D247+NPV(dr_lo_ship4,$E247:T247)</f>
        <v>0</v>
      </c>
      <c r="U291" s="56">
        <f>-capex_ship4*10^6+$D247+NPV(dr_lo_ship4,$E247:U247)</f>
        <v>0</v>
      </c>
      <c r="V291" s="56">
        <f>-capex_ship4*10^6+$D247+NPV(dr_lo_ship4,$E247:V247)</f>
        <v>0</v>
      </c>
      <c r="W291" s="56">
        <f>-capex_ship4*10^6+$D247+NPV(dr_lo_ship4,$E247:W247)</f>
        <v>0</v>
      </c>
      <c r="X291" s="56">
        <f>-capex_ship4*10^6+$D247+NPV(dr_lo_ship4,$E247:X247)</f>
        <v>0</v>
      </c>
      <c r="Y291" s="56">
        <f>-capex_ship4*10^6+$D247+NPV(dr_lo_ship4,$E247:Y247)</f>
        <v>0</v>
      </c>
      <c r="Z291" s="56">
        <f>-capex_ship4*10^6+$D247+NPV(dr_lo_ship4,$E247:Z247)</f>
        <v>0</v>
      </c>
    </row>
    <row r="292" spans="1:26" x14ac:dyDescent="0.2">
      <c r="A292" s="248"/>
      <c r="B292" s="248"/>
      <c r="C292" s="30" t="s">
        <v>18</v>
      </c>
      <c r="D292" s="60">
        <f>-capex_ship4*10^6+$D248</f>
        <v>0</v>
      </c>
      <c r="E292" s="60">
        <f>-capex_ship4*10^6+$D248+NPV(dr_med_ship4,$E248:E248)</f>
        <v>0</v>
      </c>
      <c r="F292" s="60">
        <f>-capex_ship4*10^6+$D248+NPV(dr_med_ship4,$E248:F248)</f>
        <v>0</v>
      </c>
      <c r="G292" s="60">
        <f>-capex_ship4*10^6+$D248+NPV(dr_med_ship4,$E248:G248)</f>
        <v>0</v>
      </c>
      <c r="H292" s="60">
        <f>-capex_ship4*10^6+$D248+NPV(dr_med_ship4,$E248:H248)</f>
        <v>0</v>
      </c>
      <c r="I292" s="60">
        <f>-capex_ship4*10^6+$D248+NPV(dr_med_ship4,$E248:I248)</f>
        <v>0</v>
      </c>
      <c r="J292" s="60">
        <f>-capex_ship4*10^6+$D248+NPV(dr_med_ship4,$E248:J248)</f>
        <v>0</v>
      </c>
      <c r="K292" s="60">
        <f>-capex_ship4*10^6+$D248+NPV(dr_med_ship4,$E248:K248)</f>
        <v>0</v>
      </c>
      <c r="L292" s="60">
        <f>-capex_ship4*10^6+$D248+NPV(dr_med_ship4,$E248:L248)</f>
        <v>0</v>
      </c>
      <c r="M292" s="60">
        <f>-capex_ship4*10^6+$D248+NPV(dr_med_ship4,$E248:M248)</f>
        <v>0</v>
      </c>
      <c r="N292" s="60">
        <f>-capex_ship4*10^6+$D248+NPV(dr_med_ship4,$E248:N248)</f>
        <v>0</v>
      </c>
      <c r="O292" s="60">
        <f>-capex_ship4*10^6+$D248+NPV(dr_med_ship4,$E248:O248)</f>
        <v>0</v>
      </c>
      <c r="P292" s="60">
        <f>-capex_ship4*10^6+$D248+NPV(dr_med_ship4,$E248:P248)</f>
        <v>0</v>
      </c>
      <c r="Q292" s="60">
        <f>-capex_ship4*10^6+$D248+NPV(dr_med_ship4,$E248:Q248)</f>
        <v>0</v>
      </c>
      <c r="R292" s="60">
        <f>-capex_ship4*10^6+$D248+NPV(dr_med_ship4,$E248:R248)</f>
        <v>0</v>
      </c>
      <c r="S292" s="60">
        <f>-capex_ship4*10^6+$D248+NPV(dr_med_ship4,$E248:S248)</f>
        <v>0</v>
      </c>
      <c r="T292" s="60">
        <f>-capex_ship4*10^6+$D248+NPV(dr_med_ship4,$E248:T248)</f>
        <v>0</v>
      </c>
      <c r="U292" s="60">
        <f>-capex_ship4*10^6+$D248+NPV(dr_med_ship4,$E248:U248)</f>
        <v>0</v>
      </c>
      <c r="V292" s="60">
        <f>-capex_ship4*10^6+$D248+NPV(dr_med_ship4,$E248:V248)</f>
        <v>0</v>
      </c>
      <c r="W292" s="60">
        <f>-capex_ship4*10^6+$D248+NPV(dr_med_ship4,$E248:W248)</f>
        <v>0</v>
      </c>
      <c r="X292" s="60">
        <f>-capex_ship4*10^6+$D248+NPV(dr_med_ship4,$E248:X248)</f>
        <v>0</v>
      </c>
      <c r="Y292" s="60">
        <f>-capex_ship4*10^6+$D248+NPV(dr_med_ship4,$E248:Y248)</f>
        <v>0</v>
      </c>
      <c r="Z292" s="60">
        <f>-capex_ship4*10^6+$D248+NPV(dr_med_ship4,$E248:Z248)</f>
        <v>0</v>
      </c>
    </row>
    <row r="293" spans="1:26" x14ac:dyDescent="0.2">
      <c r="A293" s="248"/>
      <c r="B293" s="248"/>
      <c r="C293" s="30" t="s">
        <v>19</v>
      </c>
      <c r="D293" s="63">
        <f>-capex_ship4*10^6+$D249</f>
        <v>0</v>
      </c>
      <c r="E293" s="63">
        <f>-capex_ship4*10^6+$D249+NPV(dr_hi_ship4,$E249:E249)</f>
        <v>0</v>
      </c>
      <c r="F293" s="63">
        <f>-capex_ship4*10^6+$D249+NPV(dr_hi_ship4,$E249:F249)</f>
        <v>0</v>
      </c>
      <c r="G293" s="63">
        <f>-capex_ship4*10^6+$D249+NPV(dr_hi_ship4,$E249:G249)</f>
        <v>0</v>
      </c>
      <c r="H293" s="63">
        <f>-capex_ship4*10^6+$D249+NPV(dr_hi_ship4,$E249:H249)</f>
        <v>0</v>
      </c>
      <c r="I293" s="63">
        <f>-capex_ship4*10^6+$D249+NPV(dr_hi_ship4,$E249:I249)</f>
        <v>0</v>
      </c>
      <c r="J293" s="63">
        <f>-capex_ship4*10^6+$D249+NPV(dr_hi_ship4,$E249:J249)</f>
        <v>0</v>
      </c>
      <c r="K293" s="63">
        <f>-capex_ship4*10^6+$D249+NPV(dr_hi_ship4,$E249:K249)</f>
        <v>0</v>
      </c>
      <c r="L293" s="63">
        <f>-capex_ship4*10^6+$D249+NPV(dr_hi_ship4,$E249:L249)</f>
        <v>0</v>
      </c>
      <c r="M293" s="63">
        <f>-capex_ship4*10^6+$D249+NPV(dr_hi_ship4,$E249:M249)</f>
        <v>0</v>
      </c>
      <c r="N293" s="63">
        <f>-capex_ship4*10^6+$D249+NPV(dr_hi_ship4,$E249:N249)</f>
        <v>0</v>
      </c>
      <c r="O293" s="63">
        <f>-capex_ship4*10^6+$D249+NPV(dr_hi_ship4,$E249:O249)</f>
        <v>0</v>
      </c>
      <c r="P293" s="63">
        <f>-capex_ship4*10^6+$D249+NPV(dr_hi_ship4,$E249:P249)</f>
        <v>0</v>
      </c>
      <c r="Q293" s="63">
        <f>-capex_ship4*10^6+$D249+NPV(dr_hi_ship4,$E249:Q249)</f>
        <v>0</v>
      </c>
      <c r="R293" s="63">
        <f>-capex_ship4*10^6+$D249+NPV(dr_hi_ship4,$E249:R249)</f>
        <v>0</v>
      </c>
      <c r="S293" s="63">
        <f>-capex_ship4*10^6+$D249+NPV(dr_hi_ship4,$E249:S249)</f>
        <v>0</v>
      </c>
      <c r="T293" s="63">
        <f>-capex_ship4*10^6+$D249+NPV(dr_hi_ship4,$E249:T249)</f>
        <v>0</v>
      </c>
      <c r="U293" s="63">
        <f>-capex_ship4*10^6+$D249+NPV(dr_hi_ship4,$E249:U249)</f>
        <v>0</v>
      </c>
      <c r="V293" s="63">
        <f>-capex_ship4*10^6+$D249+NPV(dr_hi_ship4,$E249:V249)</f>
        <v>0</v>
      </c>
      <c r="W293" s="63">
        <f>-capex_ship4*10^6+$D249+NPV(dr_hi_ship4,$E249:W249)</f>
        <v>0</v>
      </c>
      <c r="X293" s="63">
        <f>-capex_ship4*10^6+$D249+NPV(dr_hi_ship4,$E249:X249)</f>
        <v>0</v>
      </c>
      <c r="Y293" s="63">
        <f>-capex_ship4*10^6+$D249+NPV(dr_hi_ship4,$E249:Y249)</f>
        <v>0</v>
      </c>
      <c r="Z293" s="63">
        <f>-capex_ship4*10^6+$D249+NPV(dr_hi_ship4,$E249:Z249)</f>
        <v>0</v>
      </c>
    </row>
    <row r="294" spans="1:26" x14ac:dyDescent="0.2">
      <c r="A294" s="248"/>
      <c r="B294" s="248">
        <f>ship5</f>
        <v>0</v>
      </c>
      <c r="C294" s="30" t="s">
        <v>17</v>
      </c>
      <c r="D294" s="56">
        <f>-capex_ship5*10^6+$D250</f>
        <v>0</v>
      </c>
      <c r="E294" s="56">
        <f>-capex_ship5*10^6+$D250+NPV(dr_lo_ship5,$E250:E250)</f>
        <v>0</v>
      </c>
      <c r="F294" s="56">
        <f>-capex_ship5*10^6+$D250+NPV(dr_lo_ship5,$E250:F250)</f>
        <v>0</v>
      </c>
      <c r="G294" s="56">
        <f>-capex_ship5*10^6+$D250+NPV(dr_lo_ship5,$E250:G250)</f>
        <v>0</v>
      </c>
      <c r="H294" s="56">
        <f>-capex_ship5*10^6+$D250+NPV(dr_lo_ship5,$E250:H250)</f>
        <v>0</v>
      </c>
      <c r="I294" s="56">
        <f>-capex_ship5*10^6+$D250+NPV(dr_lo_ship5,$E250:I250)</f>
        <v>0</v>
      </c>
      <c r="J294" s="56">
        <f>-capex_ship5*10^6+$D250+NPV(dr_lo_ship5,$E250:J250)</f>
        <v>0</v>
      </c>
      <c r="K294" s="56">
        <f>-capex_ship5*10^6+$D250+NPV(dr_lo_ship5,$E250:K250)</f>
        <v>0</v>
      </c>
      <c r="L294" s="56">
        <f>-capex_ship5*10^6+$D250+NPV(dr_lo_ship5,$E250:L250)</f>
        <v>0</v>
      </c>
      <c r="M294" s="56">
        <f>-capex_ship5*10^6+$D250+NPV(dr_lo_ship5,$E250:M250)</f>
        <v>0</v>
      </c>
      <c r="N294" s="56">
        <f>-capex_ship5*10^6+$D250+NPV(dr_lo_ship5,$E250:N250)</f>
        <v>0</v>
      </c>
      <c r="O294" s="56">
        <f>-capex_ship5*10^6+$D250+NPV(dr_lo_ship5,$E250:O250)</f>
        <v>0</v>
      </c>
      <c r="P294" s="56">
        <f>-capex_ship5*10^6+$D250+NPV(dr_lo_ship5,$E250:P250)</f>
        <v>0</v>
      </c>
      <c r="Q294" s="56">
        <f>-capex_ship5*10^6+$D250+NPV(dr_lo_ship5,$E250:Q250)</f>
        <v>0</v>
      </c>
      <c r="R294" s="56">
        <f>-capex_ship5*10^6+$D250+NPV(dr_lo_ship5,$E250:R250)</f>
        <v>0</v>
      </c>
      <c r="S294" s="56">
        <f>-capex_ship5*10^6+$D250+NPV(dr_lo_ship5,$E250:S250)</f>
        <v>0</v>
      </c>
      <c r="T294" s="56">
        <f>-capex_ship5*10^6+$D250+NPV(dr_lo_ship5,$E250:T250)</f>
        <v>0</v>
      </c>
      <c r="U294" s="56">
        <f>-capex_ship5*10^6+$D250+NPV(dr_lo_ship5,$E250:U250)</f>
        <v>0</v>
      </c>
      <c r="V294" s="56">
        <f>-capex_ship5*10^6+$D250+NPV(dr_lo_ship5,$E250:V250)</f>
        <v>0</v>
      </c>
      <c r="W294" s="56">
        <f>-capex_ship5*10^6+$D250+NPV(dr_lo_ship5,$E250:W250)</f>
        <v>0</v>
      </c>
      <c r="X294" s="56">
        <f>-capex_ship5*10^6+$D250+NPV(dr_lo_ship5,$E250:X250)</f>
        <v>0</v>
      </c>
      <c r="Y294" s="56">
        <f>-capex_ship5*10^6+$D250+NPV(dr_lo_ship5,$E250:Y250)</f>
        <v>0</v>
      </c>
      <c r="Z294" s="56">
        <f>-capex_ship5*10^6+$D250+NPV(dr_lo_ship5,$E250:Z250)</f>
        <v>0</v>
      </c>
    </row>
    <row r="295" spans="1:26" x14ac:dyDescent="0.2">
      <c r="A295" s="248"/>
      <c r="B295" s="248"/>
      <c r="C295" s="30" t="s">
        <v>18</v>
      </c>
      <c r="D295" s="60">
        <f>-capex_ship5*10^6+$D251</f>
        <v>0</v>
      </c>
      <c r="E295" s="60">
        <f>-capex_ship5*10^6+$D251+NPV(dr_med_ship5,$E251:E251)</f>
        <v>0</v>
      </c>
      <c r="F295" s="60">
        <f>-capex_ship5*10^6+$D251+NPV(dr_med_ship5,$E251:F251)</f>
        <v>0</v>
      </c>
      <c r="G295" s="60">
        <f>-capex_ship5*10^6+$D251+NPV(dr_med_ship5,$E251:G251)</f>
        <v>0</v>
      </c>
      <c r="H295" s="60">
        <f>-capex_ship5*10^6+$D251+NPV(dr_med_ship5,$E251:H251)</f>
        <v>0</v>
      </c>
      <c r="I295" s="60">
        <f>-capex_ship5*10^6+$D251+NPV(dr_med_ship5,$E251:I251)</f>
        <v>0</v>
      </c>
      <c r="J295" s="60">
        <f>-capex_ship5*10^6+$D251+NPV(dr_med_ship5,$E251:J251)</f>
        <v>0</v>
      </c>
      <c r="K295" s="60">
        <f>-capex_ship5*10^6+$D251+NPV(dr_med_ship5,$E251:K251)</f>
        <v>0</v>
      </c>
      <c r="L295" s="60">
        <f>-capex_ship5*10^6+$D251+NPV(dr_med_ship5,$E251:L251)</f>
        <v>0</v>
      </c>
      <c r="M295" s="60">
        <f>-capex_ship5*10^6+$D251+NPV(dr_med_ship5,$E251:M251)</f>
        <v>0</v>
      </c>
      <c r="N295" s="60">
        <f>-capex_ship5*10^6+$D251+NPV(dr_med_ship5,$E251:N251)</f>
        <v>0</v>
      </c>
      <c r="O295" s="60">
        <f>-capex_ship5*10^6+$D251+NPV(dr_med_ship5,$E251:O251)</f>
        <v>0</v>
      </c>
      <c r="P295" s="60">
        <f>-capex_ship5*10^6+$D251+NPV(dr_med_ship5,$E251:P251)</f>
        <v>0</v>
      </c>
      <c r="Q295" s="60">
        <f>-capex_ship5*10^6+$D251+NPV(dr_med_ship5,$E251:Q251)</f>
        <v>0</v>
      </c>
      <c r="R295" s="60">
        <f>-capex_ship5*10^6+$D251+NPV(dr_med_ship5,$E251:R251)</f>
        <v>0</v>
      </c>
      <c r="S295" s="60">
        <f>-capex_ship5*10^6+$D251+NPV(dr_med_ship5,$E251:S251)</f>
        <v>0</v>
      </c>
      <c r="T295" s="60">
        <f>-capex_ship5*10^6+$D251+NPV(dr_med_ship5,$E251:T251)</f>
        <v>0</v>
      </c>
      <c r="U295" s="60">
        <f>-capex_ship5*10^6+$D251+NPV(dr_med_ship5,$E251:U251)</f>
        <v>0</v>
      </c>
      <c r="V295" s="60">
        <f>-capex_ship5*10^6+$D251+NPV(dr_med_ship5,$E251:V251)</f>
        <v>0</v>
      </c>
      <c r="W295" s="60">
        <f>-capex_ship5*10^6+$D251+NPV(dr_med_ship5,$E251:W251)</f>
        <v>0</v>
      </c>
      <c r="X295" s="60">
        <f>-capex_ship5*10^6+$D251+NPV(dr_med_ship5,$E251:X251)</f>
        <v>0</v>
      </c>
      <c r="Y295" s="60">
        <f>-capex_ship5*10^6+$D251+NPV(dr_med_ship5,$E251:Y251)</f>
        <v>0</v>
      </c>
      <c r="Z295" s="60">
        <f>-capex_ship5*10^6+$D251+NPV(dr_med_ship5,$E251:Z251)</f>
        <v>0</v>
      </c>
    </row>
    <row r="296" spans="1:26" x14ac:dyDescent="0.2">
      <c r="A296" s="248"/>
      <c r="B296" s="248"/>
      <c r="C296" s="30" t="s">
        <v>19</v>
      </c>
      <c r="D296" s="63">
        <f>-capex_ship5*10^6+$D252</f>
        <v>0</v>
      </c>
      <c r="E296" s="63">
        <f>-capex_ship5*10^6+$D252+NPV(dr_hi_ship5,$E252:E252)</f>
        <v>0</v>
      </c>
      <c r="F296" s="63">
        <f>-capex_ship5*10^6+$D252+NPV(dr_hi_ship5,$E252:F252)</f>
        <v>0</v>
      </c>
      <c r="G296" s="63">
        <f>-capex_ship5*10^6+$D252+NPV(dr_hi_ship5,$E252:G252)</f>
        <v>0</v>
      </c>
      <c r="H296" s="63">
        <f>-capex_ship5*10^6+$D252+NPV(dr_hi_ship5,$E252:H252)</f>
        <v>0</v>
      </c>
      <c r="I296" s="63">
        <f>-capex_ship5*10^6+$D252+NPV(dr_hi_ship5,$E252:I252)</f>
        <v>0</v>
      </c>
      <c r="J296" s="63">
        <f>-capex_ship5*10^6+$D252+NPV(dr_hi_ship5,$E252:J252)</f>
        <v>0</v>
      </c>
      <c r="K296" s="63">
        <f>-capex_ship5*10^6+$D252+NPV(dr_hi_ship5,$E252:K252)</f>
        <v>0</v>
      </c>
      <c r="L296" s="63">
        <f>-capex_ship5*10^6+$D252+NPV(dr_hi_ship5,$E252:L252)</f>
        <v>0</v>
      </c>
      <c r="M296" s="63">
        <f>-capex_ship5*10^6+$D252+NPV(dr_hi_ship5,$E252:M252)</f>
        <v>0</v>
      </c>
      <c r="N296" s="63">
        <f>-capex_ship5*10^6+$D252+NPV(dr_hi_ship5,$E252:N252)</f>
        <v>0</v>
      </c>
      <c r="O296" s="63">
        <f>-capex_ship5*10^6+$D252+NPV(dr_hi_ship5,$E252:O252)</f>
        <v>0</v>
      </c>
      <c r="P296" s="63">
        <f>-capex_ship5*10^6+$D252+NPV(dr_hi_ship5,$E252:P252)</f>
        <v>0</v>
      </c>
      <c r="Q296" s="63">
        <f>-capex_ship5*10^6+$D252+NPV(dr_hi_ship5,$E252:Q252)</f>
        <v>0</v>
      </c>
      <c r="R296" s="63">
        <f>-capex_ship5*10^6+$D252+NPV(dr_hi_ship5,$E252:R252)</f>
        <v>0</v>
      </c>
      <c r="S296" s="63">
        <f>-capex_ship5*10^6+$D252+NPV(dr_hi_ship5,$E252:S252)</f>
        <v>0</v>
      </c>
      <c r="T296" s="63">
        <f>-capex_ship5*10^6+$D252+NPV(dr_hi_ship5,$E252:T252)</f>
        <v>0</v>
      </c>
      <c r="U296" s="63">
        <f>-capex_ship5*10^6+$D252+NPV(dr_hi_ship5,$E252:U252)</f>
        <v>0</v>
      </c>
      <c r="V296" s="63">
        <f>-capex_ship5*10^6+$D252+NPV(dr_hi_ship5,$E252:V252)</f>
        <v>0</v>
      </c>
      <c r="W296" s="63">
        <f>-capex_ship5*10^6+$D252+NPV(dr_hi_ship5,$E252:W252)</f>
        <v>0</v>
      </c>
      <c r="X296" s="63">
        <f>-capex_ship5*10^6+$D252+NPV(dr_hi_ship5,$E252:X252)</f>
        <v>0</v>
      </c>
      <c r="Y296" s="63">
        <f>-capex_ship5*10^6+$D252+NPV(dr_hi_ship5,$E252:Y252)</f>
        <v>0</v>
      </c>
      <c r="Z296" s="63">
        <f>-capex_ship5*10^6+$D252+NPV(dr_hi_ship5,$E252:Z252)</f>
        <v>0</v>
      </c>
    </row>
    <row r="297" spans="1:26" x14ac:dyDescent="0.2">
      <c r="A297" s="248"/>
      <c r="B297" s="248">
        <f>ship6</f>
        <v>0</v>
      </c>
      <c r="C297" s="30" t="s">
        <v>17</v>
      </c>
      <c r="D297" s="56">
        <f>-capex_ship6*10^6+$D253</f>
        <v>0</v>
      </c>
      <c r="E297" s="56">
        <f>-capex_ship6*10^6+$D253+NPV(dr_lo_ship6,$E253:E253)</f>
        <v>0</v>
      </c>
      <c r="F297" s="56">
        <f>-capex_ship6*10^6+$D253+NPV(dr_lo_ship6,$E253:F253)</f>
        <v>0</v>
      </c>
      <c r="G297" s="56">
        <f>-capex_ship6*10^6+$D253+NPV(dr_lo_ship6,$E253:G253)</f>
        <v>0</v>
      </c>
      <c r="H297" s="56">
        <f>-capex_ship6*10^6+$D253+NPV(dr_lo_ship6,$E253:H253)</f>
        <v>0</v>
      </c>
      <c r="I297" s="56">
        <f>-capex_ship6*10^6+$D253+NPV(dr_lo_ship6,$E253:I253)</f>
        <v>0</v>
      </c>
      <c r="J297" s="56">
        <f>-capex_ship6*10^6+$D253+NPV(dr_lo_ship6,$E253:J253)</f>
        <v>0</v>
      </c>
      <c r="K297" s="56">
        <f>-capex_ship6*10^6+$D253+NPV(dr_lo_ship6,$E253:K253)</f>
        <v>0</v>
      </c>
      <c r="L297" s="56">
        <f>-capex_ship6*10^6+$D253+NPV(dr_lo_ship6,$E253:L253)</f>
        <v>0</v>
      </c>
      <c r="M297" s="56">
        <f>-capex_ship6*10^6+$D253+NPV(dr_lo_ship6,$E253:M253)</f>
        <v>0</v>
      </c>
      <c r="N297" s="56">
        <f>-capex_ship6*10^6+$D253+NPV(dr_lo_ship6,$E253:N253)</f>
        <v>0</v>
      </c>
      <c r="O297" s="56">
        <f>-capex_ship6*10^6+$D253+NPV(dr_lo_ship6,$E253:O253)</f>
        <v>0</v>
      </c>
      <c r="P297" s="56">
        <f>-capex_ship6*10^6+$D253+NPV(dr_lo_ship6,$E253:P253)</f>
        <v>0</v>
      </c>
      <c r="Q297" s="56">
        <f>-capex_ship6*10^6+$D253+NPV(dr_lo_ship6,$E253:Q253)</f>
        <v>0</v>
      </c>
      <c r="R297" s="56">
        <f>-capex_ship6*10^6+$D253+NPV(dr_lo_ship6,$E253:R253)</f>
        <v>0</v>
      </c>
      <c r="S297" s="56">
        <f>-capex_ship6*10^6+$D253+NPV(dr_lo_ship6,$E253:S253)</f>
        <v>0</v>
      </c>
      <c r="T297" s="56">
        <f>-capex_ship6*10^6+$D253+NPV(dr_lo_ship6,$E253:T253)</f>
        <v>0</v>
      </c>
      <c r="U297" s="56">
        <f>-capex_ship6*10^6+$D253+NPV(dr_lo_ship6,$E253:U253)</f>
        <v>0</v>
      </c>
      <c r="V297" s="56">
        <f>-capex_ship6*10^6+$D253+NPV(dr_lo_ship6,$E253:V253)</f>
        <v>0</v>
      </c>
      <c r="W297" s="56">
        <f>-capex_ship6*10^6+$D253+NPV(dr_lo_ship6,$E253:W253)</f>
        <v>0</v>
      </c>
      <c r="X297" s="56">
        <f>-capex_ship6*10^6+$D253+NPV(dr_lo_ship6,$E253:X253)</f>
        <v>0</v>
      </c>
      <c r="Y297" s="56">
        <f>-capex_ship6*10^6+$D253+NPV(dr_lo_ship6,$E253:Y253)</f>
        <v>0</v>
      </c>
      <c r="Z297" s="56">
        <f>-capex_ship6*10^6+$D253+NPV(dr_lo_ship6,$E253:Z253)</f>
        <v>0</v>
      </c>
    </row>
    <row r="298" spans="1:26" x14ac:dyDescent="0.2">
      <c r="A298" s="248"/>
      <c r="B298" s="248"/>
      <c r="C298" s="30" t="s">
        <v>18</v>
      </c>
      <c r="D298" s="60">
        <f>-capex_ship6*10^6+$D254</f>
        <v>0</v>
      </c>
      <c r="E298" s="60">
        <f>-capex_ship6*10^6+$D254+NPV(dr_med_ship6,$E254:E254)</f>
        <v>0</v>
      </c>
      <c r="F298" s="60">
        <f>-capex_ship6*10^6+$D254+NPV(dr_med_ship6,$E254:F254)</f>
        <v>0</v>
      </c>
      <c r="G298" s="60">
        <f>-capex_ship6*10^6+$D254+NPV(dr_med_ship6,$E254:G254)</f>
        <v>0</v>
      </c>
      <c r="H298" s="60">
        <f>-capex_ship6*10^6+$D254+NPV(dr_med_ship6,$E254:H254)</f>
        <v>0</v>
      </c>
      <c r="I298" s="60">
        <f>-capex_ship6*10^6+$D254+NPV(dr_med_ship6,$E254:I254)</f>
        <v>0</v>
      </c>
      <c r="J298" s="60">
        <f>-capex_ship6*10^6+$D254+NPV(dr_med_ship6,$E254:J254)</f>
        <v>0</v>
      </c>
      <c r="K298" s="60">
        <f>-capex_ship6*10^6+$D254+NPV(dr_med_ship6,$E254:K254)</f>
        <v>0</v>
      </c>
      <c r="L298" s="60">
        <f>-capex_ship6*10^6+$D254+NPV(dr_med_ship6,$E254:L254)</f>
        <v>0</v>
      </c>
      <c r="M298" s="60">
        <f>-capex_ship6*10^6+$D254+NPV(dr_med_ship6,$E254:M254)</f>
        <v>0</v>
      </c>
      <c r="N298" s="60">
        <f>-capex_ship6*10^6+$D254+NPV(dr_med_ship6,$E254:N254)</f>
        <v>0</v>
      </c>
      <c r="O298" s="60">
        <f>-capex_ship6*10^6+$D254+NPV(dr_med_ship6,$E254:O254)</f>
        <v>0</v>
      </c>
      <c r="P298" s="60">
        <f>-capex_ship6*10^6+$D254+NPV(dr_med_ship6,$E254:P254)</f>
        <v>0</v>
      </c>
      <c r="Q298" s="60">
        <f>-capex_ship6*10^6+$D254+NPV(dr_med_ship6,$E254:Q254)</f>
        <v>0</v>
      </c>
      <c r="R298" s="60">
        <f>-capex_ship6*10^6+$D254+NPV(dr_med_ship6,$E254:R254)</f>
        <v>0</v>
      </c>
      <c r="S298" s="60">
        <f>-capex_ship6*10^6+$D254+NPV(dr_med_ship6,$E254:S254)</f>
        <v>0</v>
      </c>
      <c r="T298" s="60">
        <f>-capex_ship6*10^6+$D254+NPV(dr_med_ship6,$E254:T254)</f>
        <v>0</v>
      </c>
      <c r="U298" s="60">
        <f>-capex_ship6*10^6+$D254+NPV(dr_med_ship6,$E254:U254)</f>
        <v>0</v>
      </c>
      <c r="V298" s="60">
        <f>-capex_ship6*10^6+$D254+NPV(dr_med_ship6,$E254:V254)</f>
        <v>0</v>
      </c>
      <c r="W298" s="60">
        <f>-capex_ship6*10^6+$D254+NPV(dr_med_ship6,$E254:W254)</f>
        <v>0</v>
      </c>
      <c r="X298" s="60">
        <f>-capex_ship6*10^6+$D254+NPV(dr_med_ship6,$E254:X254)</f>
        <v>0</v>
      </c>
      <c r="Y298" s="60">
        <f>-capex_ship6*10^6+$D254+NPV(dr_med_ship6,$E254:Y254)</f>
        <v>0</v>
      </c>
      <c r="Z298" s="60">
        <f>-capex_ship6*10^6+$D254+NPV(dr_med_ship6,$E254:Z254)</f>
        <v>0</v>
      </c>
    </row>
    <row r="299" spans="1:26" x14ac:dyDescent="0.2">
      <c r="A299" s="248"/>
      <c r="B299" s="248"/>
      <c r="C299" s="30" t="s">
        <v>19</v>
      </c>
      <c r="D299" s="63">
        <f>-capex_ship6*10^6+$D255</f>
        <v>0</v>
      </c>
      <c r="E299" s="63">
        <f>-capex_ship6*10^6+$D255+NPV(dr_hi_ship6,$E255:E255)</f>
        <v>0</v>
      </c>
      <c r="F299" s="63">
        <f>-capex_ship6*10^6+$D255+NPV(dr_hi_ship6,$E255:F255)</f>
        <v>0</v>
      </c>
      <c r="G299" s="63">
        <f>-capex_ship6*10^6+$D255+NPV(dr_hi_ship6,$E255:G255)</f>
        <v>0</v>
      </c>
      <c r="H299" s="63">
        <f>-capex_ship6*10^6+$D255+NPV(dr_hi_ship6,$E255:H255)</f>
        <v>0</v>
      </c>
      <c r="I299" s="63">
        <f>-capex_ship6*10^6+$D255+NPV(dr_hi_ship6,$E255:I255)</f>
        <v>0</v>
      </c>
      <c r="J299" s="63">
        <f>-capex_ship6*10^6+$D255+NPV(dr_hi_ship6,$E255:J255)</f>
        <v>0</v>
      </c>
      <c r="K299" s="63">
        <f>-capex_ship6*10^6+$D255+NPV(dr_hi_ship6,$E255:K255)</f>
        <v>0</v>
      </c>
      <c r="L299" s="63">
        <f>-capex_ship6*10^6+$D255+NPV(dr_hi_ship6,$E255:L255)</f>
        <v>0</v>
      </c>
      <c r="M299" s="63">
        <f>-capex_ship6*10^6+$D255+NPV(dr_hi_ship6,$E255:M255)</f>
        <v>0</v>
      </c>
      <c r="N299" s="63">
        <f>-capex_ship6*10^6+$D255+NPV(dr_hi_ship6,$E255:N255)</f>
        <v>0</v>
      </c>
      <c r="O299" s="63">
        <f>-capex_ship6*10^6+$D255+NPV(dr_hi_ship6,$E255:O255)</f>
        <v>0</v>
      </c>
      <c r="P299" s="63">
        <f>-capex_ship6*10^6+$D255+NPV(dr_hi_ship6,$E255:P255)</f>
        <v>0</v>
      </c>
      <c r="Q299" s="63">
        <f>-capex_ship6*10^6+$D255+NPV(dr_hi_ship6,$E255:Q255)</f>
        <v>0</v>
      </c>
      <c r="R299" s="63">
        <f>-capex_ship6*10^6+$D255+NPV(dr_hi_ship6,$E255:R255)</f>
        <v>0</v>
      </c>
      <c r="S299" s="63">
        <f>-capex_ship6*10^6+$D255+NPV(dr_hi_ship6,$E255:S255)</f>
        <v>0</v>
      </c>
      <c r="T299" s="63">
        <f>-capex_ship6*10^6+$D255+NPV(dr_hi_ship6,$E255:T255)</f>
        <v>0</v>
      </c>
      <c r="U299" s="63">
        <f>-capex_ship6*10^6+$D255+NPV(dr_hi_ship6,$E255:U255)</f>
        <v>0</v>
      </c>
      <c r="V299" s="63">
        <f>-capex_ship6*10^6+$D255+NPV(dr_hi_ship6,$E255:V255)</f>
        <v>0</v>
      </c>
      <c r="W299" s="63">
        <f>-capex_ship6*10^6+$D255+NPV(dr_hi_ship6,$E255:W255)</f>
        <v>0</v>
      </c>
      <c r="X299" s="63">
        <f>-capex_ship6*10^6+$D255+NPV(dr_hi_ship6,$E255:X255)</f>
        <v>0</v>
      </c>
      <c r="Y299" s="63">
        <f>-capex_ship6*10^6+$D255+NPV(dr_hi_ship6,$E255:Y255)</f>
        <v>0</v>
      </c>
      <c r="Z299" s="63">
        <f>-capex_ship6*10^6+$D255+NPV(dr_hi_ship6,$E255:Z255)</f>
        <v>0</v>
      </c>
    </row>
    <row r="300" spans="1:26" ht="12.75" customHeight="1" x14ac:dyDescent="0.2">
      <c r="A300" s="248" t="s">
        <v>112</v>
      </c>
      <c r="B300" s="248">
        <f>ship_plot</f>
        <v>0</v>
      </c>
      <c r="C300" s="30" t="s">
        <v>17</v>
      </c>
      <c r="D300" s="56">
        <f t="shared" ref="D300:Z300" si="269">IF(ship_plot=ship1,D282,IF(ship_plot=ship2,D285,IF(ship_plot=ship3,D288,IF(ship_plot=ship4,D291,IF(ship_plot=ship5,D294,IF(ship_plot=ship6,D297,"error"))))))</f>
        <v>0</v>
      </c>
      <c r="E300" s="56">
        <f t="shared" si="269"/>
        <v>0</v>
      </c>
      <c r="F300" s="56">
        <f t="shared" si="269"/>
        <v>0</v>
      </c>
      <c r="G300" s="56">
        <f t="shared" si="269"/>
        <v>0</v>
      </c>
      <c r="H300" s="56">
        <f t="shared" si="269"/>
        <v>0</v>
      </c>
      <c r="I300" s="56">
        <f t="shared" si="269"/>
        <v>0</v>
      </c>
      <c r="J300" s="56">
        <f t="shared" si="269"/>
        <v>0</v>
      </c>
      <c r="K300" s="56">
        <f t="shared" si="269"/>
        <v>0</v>
      </c>
      <c r="L300" s="56">
        <f t="shared" si="269"/>
        <v>0</v>
      </c>
      <c r="M300" s="56">
        <f t="shared" si="269"/>
        <v>0</v>
      </c>
      <c r="N300" s="56">
        <f t="shared" si="269"/>
        <v>0</v>
      </c>
      <c r="O300" s="56">
        <f t="shared" si="269"/>
        <v>0</v>
      </c>
      <c r="P300" s="56">
        <f t="shared" si="269"/>
        <v>0</v>
      </c>
      <c r="Q300" s="56">
        <f t="shared" si="269"/>
        <v>0</v>
      </c>
      <c r="R300" s="56">
        <f t="shared" si="269"/>
        <v>0</v>
      </c>
      <c r="S300" s="56">
        <f t="shared" si="269"/>
        <v>0</v>
      </c>
      <c r="T300" s="56">
        <f t="shared" si="269"/>
        <v>0</v>
      </c>
      <c r="U300" s="56">
        <f t="shared" si="269"/>
        <v>0</v>
      </c>
      <c r="V300" s="56">
        <f t="shared" si="269"/>
        <v>0</v>
      </c>
      <c r="W300" s="56">
        <f t="shared" si="269"/>
        <v>0</v>
      </c>
      <c r="X300" s="56">
        <f t="shared" si="269"/>
        <v>0</v>
      </c>
      <c r="Y300" s="56">
        <f t="shared" si="269"/>
        <v>0</v>
      </c>
      <c r="Z300" s="56">
        <f t="shared" si="269"/>
        <v>0</v>
      </c>
    </row>
    <row r="301" spans="1:26" x14ac:dyDescent="0.2">
      <c r="A301" s="248"/>
      <c r="B301" s="248"/>
      <c r="C301" s="30" t="s">
        <v>18</v>
      </c>
      <c r="D301" s="60">
        <f t="shared" ref="D301:Z301" si="270">IF(ship_plot=ship1,D283,IF(ship_plot=ship2,D286,IF(ship_plot=ship3,D289,IF(ship_plot=ship4,D292,IF(ship_plot=ship5,D295,IF(ship_plot=ship6,D298,"error"))))))</f>
        <v>0</v>
      </c>
      <c r="E301" s="60">
        <f t="shared" si="270"/>
        <v>0</v>
      </c>
      <c r="F301" s="60">
        <f t="shared" si="270"/>
        <v>0</v>
      </c>
      <c r="G301" s="60">
        <f t="shared" si="270"/>
        <v>0</v>
      </c>
      <c r="H301" s="60">
        <f t="shared" si="270"/>
        <v>0</v>
      </c>
      <c r="I301" s="60">
        <f t="shared" si="270"/>
        <v>0</v>
      </c>
      <c r="J301" s="60">
        <f t="shared" si="270"/>
        <v>0</v>
      </c>
      <c r="K301" s="60">
        <f t="shared" si="270"/>
        <v>0</v>
      </c>
      <c r="L301" s="60">
        <f t="shared" si="270"/>
        <v>0</v>
      </c>
      <c r="M301" s="60">
        <f t="shared" si="270"/>
        <v>0</v>
      </c>
      <c r="N301" s="60">
        <f t="shared" si="270"/>
        <v>0</v>
      </c>
      <c r="O301" s="60">
        <f t="shared" si="270"/>
        <v>0</v>
      </c>
      <c r="P301" s="60">
        <f t="shared" si="270"/>
        <v>0</v>
      </c>
      <c r="Q301" s="60">
        <f t="shared" si="270"/>
        <v>0</v>
      </c>
      <c r="R301" s="60">
        <f t="shared" si="270"/>
        <v>0</v>
      </c>
      <c r="S301" s="60">
        <f t="shared" si="270"/>
        <v>0</v>
      </c>
      <c r="T301" s="60">
        <f t="shared" si="270"/>
        <v>0</v>
      </c>
      <c r="U301" s="60">
        <f t="shared" si="270"/>
        <v>0</v>
      </c>
      <c r="V301" s="60">
        <f t="shared" si="270"/>
        <v>0</v>
      </c>
      <c r="W301" s="60">
        <f t="shared" si="270"/>
        <v>0</v>
      </c>
      <c r="X301" s="60">
        <f t="shared" si="270"/>
        <v>0</v>
      </c>
      <c r="Y301" s="60">
        <f t="shared" si="270"/>
        <v>0</v>
      </c>
      <c r="Z301" s="60">
        <f t="shared" si="270"/>
        <v>0</v>
      </c>
    </row>
    <row r="302" spans="1:26" x14ac:dyDescent="0.2">
      <c r="A302" s="248"/>
      <c r="B302" s="248"/>
      <c r="C302" s="30" t="s">
        <v>19</v>
      </c>
      <c r="D302" s="63">
        <f t="shared" ref="D302:Z302" si="271">IF(ship_plot=ship1,D284,IF(ship_plot=ship2,D287,IF(ship_plot=ship3,D290,IF(ship_plot=ship4,D293,IF(ship_plot=ship5,D296,IF(ship_plot=ship6,D299,"error"))))))</f>
        <v>0</v>
      </c>
      <c r="E302" s="63">
        <f t="shared" si="271"/>
        <v>0</v>
      </c>
      <c r="F302" s="63">
        <f t="shared" si="271"/>
        <v>0</v>
      </c>
      <c r="G302" s="63">
        <f t="shared" si="271"/>
        <v>0</v>
      </c>
      <c r="H302" s="63">
        <f t="shared" si="271"/>
        <v>0</v>
      </c>
      <c r="I302" s="63">
        <f t="shared" si="271"/>
        <v>0</v>
      </c>
      <c r="J302" s="63">
        <f t="shared" si="271"/>
        <v>0</v>
      </c>
      <c r="K302" s="63">
        <f t="shared" si="271"/>
        <v>0</v>
      </c>
      <c r="L302" s="63">
        <f t="shared" si="271"/>
        <v>0</v>
      </c>
      <c r="M302" s="63">
        <f t="shared" si="271"/>
        <v>0</v>
      </c>
      <c r="N302" s="63">
        <f t="shared" si="271"/>
        <v>0</v>
      </c>
      <c r="O302" s="63">
        <f t="shared" si="271"/>
        <v>0</v>
      </c>
      <c r="P302" s="63">
        <f t="shared" si="271"/>
        <v>0</v>
      </c>
      <c r="Q302" s="63">
        <f t="shared" si="271"/>
        <v>0</v>
      </c>
      <c r="R302" s="63">
        <f t="shared" si="271"/>
        <v>0</v>
      </c>
      <c r="S302" s="63">
        <f t="shared" si="271"/>
        <v>0</v>
      </c>
      <c r="T302" s="63">
        <f t="shared" si="271"/>
        <v>0</v>
      </c>
      <c r="U302" s="63">
        <f t="shared" si="271"/>
        <v>0</v>
      </c>
      <c r="V302" s="63">
        <f t="shared" si="271"/>
        <v>0</v>
      </c>
      <c r="W302" s="63">
        <f t="shared" si="271"/>
        <v>0</v>
      </c>
      <c r="X302" s="63">
        <f t="shared" si="271"/>
        <v>0</v>
      </c>
      <c r="Y302" s="63">
        <f t="shared" si="271"/>
        <v>0</v>
      </c>
      <c r="Z302" s="63">
        <f t="shared" si="271"/>
        <v>0</v>
      </c>
    </row>
    <row r="303" spans="1:26" ht="12.75" customHeight="1" x14ac:dyDescent="0.2">
      <c r="A303" s="76" t="s">
        <v>110</v>
      </c>
      <c r="B303" s="76">
        <f>ship_plot</f>
        <v>0</v>
      </c>
      <c r="C303" s="77">
        <f>scenario_display</f>
        <v>0</v>
      </c>
      <c r="D303" s="78">
        <f t="shared" ref="D303:Z303" si="272">IF(scenario_display="Low",D300,IF(scenario_display="Medium",D301,D302))</f>
        <v>0</v>
      </c>
      <c r="E303" s="78">
        <f t="shared" si="272"/>
        <v>0</v>
      </c>
      <c r="F303" s="78">
        <f t="shared" si="272"/>
        <v>0</v>
      </c>
      <c r="G303" s="78">
        <f t="shared" si="272"/>
        <v>0</v>
      </c>
      <c r="H303" s="78">
        <f t="shared" si="272"/>
        <v>0</v>
      </c>
      <c r="I303" s="78">
        <f t="shared" si="272"/>
        <v>0</v>
      </c>
      <c r="J303" s="78">
        <f t="shared" si="272"/>
        <v>0</v>
      </c>
      <c r="K303" s="78">
        <f t="shared" si="272"/>
        <v>0</v>
      </c>
      <c r="L303" s="78">
        <f t="shared" si="272"/>
        <v>0</v>
      </c>
      <c r="M303" s="78">
        <f t="shared" si="272"/>
        <v>0</v>
      </c>
      <c r="N303" s="78">
        <f t="shared" si="272"/>
        <v>0</v>
      </c>
      <c r="O303" s="78">
        <f t="shared" si="272"/>
        <v>0</v>
      </c>
      <c r="P303" s="78">
        <f t="shared" si="272"/>
        <v>0</v>
      </c>
      <c r="Q303" s="78">
        <f t="shared" si="272"/>
        <v>0</v>
      </c>
      <c r="R303" s="78">
        <f t="shared" si="272"/>
        <v>0</v>
      </c>
      <c r="S303" s="78">
        <f t="shared" si="272"/>
        <v>0</v>
      </c>
      <c r="T303" s="78">
        <f t="shared" si="272"/>
        <v>0</v>
      </c>
      <c r="U303" s="78">
        <f t="shared" si="272"/>
        <v>0</v>
      </c>
      <c r="V303" s="78">
        <f t="shared" si="272"/>
        <v>0</v>
      </c>
      <c r="W303" s="78">
        <f t="shared" si="272"/>
        <v>0</v>
      </c>
      <c r="X303" s="78">
        <f t="shared" si="272"/>
        <v>0</v>
      </c>
      <c r="Y303" s="78">
        <f t="shared" si="272"/>
        <v>0</v>
      </c>
      <c r="Z303" s="78">
        <f t="shared" si="272"/>
        <v>0</v>
      </c>
    </row>
    <row r="304" spans="1:26" x14ac:dyDescent="0.2">
      <c r="A304" s="248" t="s">
        <v>109</v>
      </c>
      <c r="B304" s="248">
        <f>ship1</f>
        <v>0</v>
      </c>
      <c r="C304" s="30" t="s">
        <v>17</v>
      </c>
      <c r="D304" s="56" t="e">
        <f>NA()</f>
        <v>#N/A</v>
      </c>
      <c r="E304" s="56">
        <f>-capex_ship1*10^6+$E238</f>
        <v>0</v>
      </c>
      <c r="F304" s="56">
        <f>-capex_ship1*10^6+$E238+NPV(dr_lo_ship1,$F238:F238)</f>
        <v>0</v>
      </c>
      <c r="G304" s="56">
        <f>-capex_ship1*10^6+$E238+NPV(dr_lo_ship1,$F238:G238)</f>
        <v>0</v>
      </c>
      <c r="H304" s="56">
        <f>-capex_ship1*10^6+$E238+NPV(dr_lo_ship1,$F238:H238)</f>
        <v>0</v>
      </c>
      <c r="I304" s="56">
        <f>-capex_ship1*10^6+$E238+NPV(dr_lo_ship1,$F238:I238)</f>
        <v>0</v>
      </c>
      <c r="J304" s="56">
        <f>-capex_ship1*10^6+$E238+NPV(dr_lo_ship1,$F238:J238)</f>
        <v>0</v>
      </c>
      <c r="K304" s="56">
        <f>-capex_ship1*10^6+$E238+NPV(dr_lo_ship1,$F238:K238)</f>
        <v>0</v>
      </c>
      <c r="L304" s="56">
        <f>-capex_ship1*10^6+$E238+NPV(dr_lo_ship1,$F238:L238)</f>
        <v>0</v>
      </c>
      <c r="M304" s="56">
        <f>-capex_ship1*10^6+$E238+NPV(dr_lo_ship1,$F238:M238)</f>
        <v>0</v>
      </c>
      <c r="N304" s="56">
        <f>-capex_ship1*10^6+$E238+NPV(dr_lo_ship1,$F238:N238)</f>
        <v>0</v>
      </c>
      <c r="O304" s="56">
        <f>-capex_ship1*10^6+$E238+NPV(dr_lo_ship1,$F238:O238)</f>
        <v>0</v>
      </c>
      <c r="P304" s="56">
        <f>-capex_ship1*10^6+$E238+NPV(dr_lo_ship1,$F238:P238)</f>
        <v>0</v>
      </c>
      <c r="Q304" s="56">
        <f>-capex_ship1*10^6+$E238+NPV(dr_lo_ship1,$F238:Q238)</f>
        <v>0</v>
      </c>
      <c r="R304" s="56">
        <f>-capex_ship1*10^6+$E238+NPV(dr_lo_ship1,$F238:R238)</f>
        <v>0</v>
      </c>
      <c r="S304" s="56">
        <f>-capex_ship1*10^6+$E238+NPV(dr_lo_ship1,$F238:S238)</f>
        <v>0</v>
      </c>
      <c r="T304" s="56">
        <f>-capex_ship1*10^6+$E238+NPV(dr_lo_ship1,$F238:T238)</f>
        <v>0</v>
      </c>
      <c r="U304" s="56">
        <f>-capex_ship1*10^6+$E238+NPV(dr_lo_ship1,$F238:U238)</f>
        <v>0</v>
      </c>
      <c r="V304" s="56">
        <f>-capex_ship1*10^6+$E238+NPV(dr_lo_ship1,$F238:V238)</f>
        <v>0</v>
      </c>
      <c r="W304" s="56">
        <f>-capex_ship1*10^6+$E238+NPV(dr_lo_ship1,$F238:W238)</f>
        <v>0</v>
      </c>
      <c r="X304" s="56">
        <f>-capex_ship1*10^6+$E238+NPV(dr_lo_ship1,$F238:X238)</f>
        <v>0</v>
      </c>
      <c r="Y304" s="56">
        <f>-capex_ship1*10^6+$E238+NPV(dr_lo_ship1,$F238:Y238)</f>
        <v>0</v>
      </c>
      <c r="Z304" s="56">
        <f>-capex_ship1*10^6+$E238+NPV(dr_lo_ship1,$F238:Z238)</f>
        <v>0</v>
      </c>
    </row>
    <row r="305" spans="1:32" x14ac:dyDescent="0.2">
      <c r="A305" s="248"/>
      <c r="B305" s="248"/>
      <c r="C305" s="30" t="s">
        <v>18</v>
      </c>
      <c r="D305" s="60" t="e">
        <f>NA()</f>
        <v>#N/A</v>
      </c>
      <c r="E305" s="60">
        <f>-capex_ship1*10^6+$E239</f>
        <v>0</v>
      </c>
      <c r="F305" s="60">
        <f>-capex_ship1*10^6+$E239+NPV(dr_med_ship1,$F239:F239)</f>
        <v>0</v>
      </c>
      <c r="G305" s="60">
        <f>-capex_ship1*10^6+$E239+NPV(dr_med_ship1,$F239:G239)</f>
        <v>0</v>
      </c>
      <c r="H305" s="60">
        <f>-capex_ship1*10^6+$E239+NPV(dr_med_ship1,$F239:H239)</f>
        <v>0</v>
      </c>
      <c r="I305" s="60">
        <f>-capex_ship1*10^6+$E239+NPV(dr_med_ship1,$F239:I239)</f>
        <v>0</v>
      </c>
      <c r="J305" s="60">
        <f>-capex_ship1*10^6+$E239+NPV(dr_med_ship1,$F239:J239)</f>
        <v>0</v>
      </c>
      <c r="K305" s="60">
        <f>-capex_ship1*10^6+$E239+NPV(dr_med_ship1,$F239:K239)</f>
        <v>0</v>
      </c>
      <c r="L305" s="60">
        <f>-capex_ship1*10^6+$E239+NPV(dr_med_ship1,$F239:L239)</f>
        <v>0</v>
      </c>
      <c r="M305" s="60">
        <f>-capex_ship1*10^6+$E239+NPV(dr_med_ship1,$F239:M239)</f>
        <v>0</v>
      </c>
      <c r="N305" s="60">
        <f>-capex_ship1*10^6+$E239+NPV(dr_med_ship1,$F239:N239)</f>
        <v>0</v>
      </c>
      <c r="O305" s="60">
        <f>-capex_ship1*10^6+$E239+NPV(dr_med_ship1,$F239:O239)</f>
        <v>0</v>
      </c>
      <c r="P305" s="60">
        <f>-capex_ship1*10^6+$E239+NPV(dr_med_ship1,$F239:P239)</f>
        <v>0</v>
      </c>
      <c r="Q305" s="60">
        <f>-capex_ship1*10^6+$E239+NPV(dr_med_ship1,$F239:Q239)</f>
        <v>0</v>
      </c>
      <c r="R305" s="60">
        <f>-capex_ship1*10^6+$E239+NPV(dr_med_ship1,$F239:R239)</f>
        <v>0</v>
      </c>
      <c r="S305" s="60">
        <f>-capex_ship1*10^6+$E239+NPV(dr_med_ship1,$F239:S239)</f>
        <v>0</v>
      </c>
      <c r="T305" s="60">
        <f>-capex_ship1*10^6+$E239+NPV(dr_med_ship1,$F239:T239)</f>
        <v>0</v>
      </c>
      <c r="U305" s="60">
        <f>-capex_ship1*10^6+$E239+NPV(dr_med_ship1,$F239:U239)</f>
        <v>0</v>
      </c>
      <c r="V305" s="60">
        <f>-capex_ship1*10^6+$E239+NPV(dr_med_ship1,$F239:V239)</f>
        <v>0</v>
      </c>
      <c r="W305" s="60">
        <f>-capex_ship1*10^6+$E239+NPV(dr_med_ship1,$F239:W239)</f>
        <v>0</v>
      </c>
      <c r="X305" s="60">
        <f>-capex_ship1*10^6+$E239+NPV(dr_med_ship1,$F239:X239)</f>
        <v>0</v>
      </c>
      <c r="Y305" s="60">
        <f>-capex_ship1*10^6+$E239+NPV(dr_med_ship1,$F239:Y239)</f>
        <v>0</v>
      </c>
      <c r="Z305" s="60">
        <f>-capex_ship1*10^6+$E239+NPV(dr_med_ship1,$F239:Z239)</f>
        <v>0</v>
      </c>
    </row>
    <row r="306" spans="1:32" x14ac:dyDescent="0.2">
      <c r="A306" s="248"/>
      <c r="B306" s="248"/>
      <c r="C306" s="30" t="s">
        <v>19</v>
      </c>
      <c r="D306" s="63" t="e">
        <f>NA()</f>
        <v>#N/A</v>
      </c>
      <c r="E306" s="63">
        <f>-capex_ship1*10^6+$E240</f>
        <v>0</v>
      </c>
      <c r="F306" s="63">
        <f>-capex_ship1*10^6+$E240+NPV(dr_hi_ship1,$F240:F240)</f>
        <v>0</v>
      </c>
      <c r="G306" s="63">
        <f>-capex_ship1*10^6+$E240+NPV(dr_hi_ship1,$F240:G240)</f>
        <v>0</v>
      </c>
      <c r="H306" s="63">
        <f>-capex_ship1*10^6+$E240+NPV(dr_hi_ship1,$F240:H240)</f>
        <v>0</v>
      </c>
      <c r="I306" s="63">
        <f>-capex_ship1*10^6+$E240+NPV(dr_hi_ship1,$F240:I240)</f>
        <v>0</v>
      </c>
      <c r="J306" s="63">
        <f>-capex_ship1*10^6+$E240+NPV(dr_hi_ship1,$F240:J240)</f>
        <v>0</v>
      </c>
      <c r="K306" s="63">
        <f>-capex_ship1*10^6+$E240+NPV(dr_hi_ship1,$F240:K240)</f>
        <v>0</v>
      </c>
      <c r="L306" s="63">
        <f>-capex_ship1*10^6+$E240+NPV(dr_hi_ship1,$F240:L240)</f>
        <v>0</v>
      </c>
      <c r="M306" s="63">
        <f>-capex_ship1*10^6+$E240+NPV(dr_hi_ship1,$F240:M240)</f>
        <v>0</v>
      </c>
      <c r="N306" s="63">
        <f>-capex_ship1*10^6+$E240+NPV(dr_hi_ship1,$F240:N240)</f>
        <v>0</v>
      </c>
      <c r="O306" s="63">
        <f>-capex_ship1*10^6+$E240+NPV(dr_hi_ship1,$F240:O240)</f>
        <v>0</v>
      </c>
      <c r="P306" s="63">
        <f>-capex_ship1*10^6+$E240+NPV(dr_hi_ship1,$F240:P240)</f>
        <v>0</v>
      </c>
      <c r="Q306" s="63">
        <f>-capex_ship1*10^6+$E240+NPV(dr_hi_ship1,$F240:Q240)</f>
        <v>0</v>
      </c>
      <c r="R306" s="63">
        <f>-capex_ship1*10^6+$E240+NPV(dr_hi_ship1,$F240:R240)</f>
        <v>0</v>
      </c>
      <c r="S306" s="63">
        <f>-capex_ship1*10^6+$E240+NPV(dr_hi_ship1,$F240:S240)</f>
        <v>0</v>
      </c>
      <c r="T306" s="63">
        <f>-capex_ship1*10^6+$E240+NPV(dr_hi_ship1,$F240:T240)</f>
        <v>0</v>
      </c>
      <c r="U306" s="63">
        <f>-capex_ship1*10^6+$E240+NPV(dr_hi_ship1,$F240:U240)</f>
        <v>0</v>
      </c>
      <c r="V306" s="63">
        <f>-capex_ship1*10^6+$E240+NPV(dr_hi_ship1,$F240:V240)</f>
        <v>0</v>
      </c>
      <c r="W306" s="63">
        <f>-capex_ship1*10^6+$E240+NPV(dr_hi_ship1,$F240:W240)</f>
        <v>0</v>
      </c>
      <c r="X306" s="63">
        <f>-capex_ship1*10^6+$E240+NPV(dr_hi_ship1,$F240:X240)</f>
        <v>0</v>
      </c>
      <c r="Y306" s="63">
        <f>-capex_ship1*10^6+$E240+NPV(dr_hi_ship1,$F240:Y240)</f>
        <v>0</v>
      </c>
      <c r="Z306" s="63">
        <f>-capex_ship1*10^6+$E240+NPV(dr_hi_ship1,$F240:Z240)</f>
        <v>0</v>
      </c>
      <c r="AF306" s="108"/>
    </row>
    <row r="307" spans="1:32" x14ac:dyDescent="0.2">
      <c r="A307" s="248"/>
      <c r="B307" s="248">
        <f>ship2</f>
        <v>0</v>
      </c>
      <c r="C307" s="30" t="s">
        <v>17</v>
      </c>
      <c r="D307" s="56" t="e">
        <f>NA()</f>
        <v>#N/A</v>
      </c>
      <c r="E307" s="56">
        <f>-capex_ship2*10^6+$E241</f>
        <v>0</v>
      </c>
      <c r="F307" s="56">
        <f>-capex_ship2*10^6+$E241+NPV(dr_lo_ship2,$F241:F241)</f>
        <v>0</v>
      </c>
      <c r="G307" s="56">
        <f>-capex_ship2*10^6+$E241+NPV(dr_lo_ship2,$F241:G241)</f>
        <v>0</v>
      </c>
      <c r="H307" s="56">
        <f>-capex_ship2*10^6+$E241+NPV(dr_lo_ship2,$F241:H241)</f>
        <v>0</v>
      </c>
      <c r="I307" s="56">
        <f>-capex_ship2*10^6+$E241+NPV(dr_lo_ship2,$F241:I241)</f>
        <v>0</v>
      </c>
      <c r="J307" s="56">
        <f>-capex_ship2*10^6+$E241+NPV(dr_lo_ship2,$F241:J241)</f>
        <v>0</v>
      </c>
      <c r="K307" s="56">
        <f>-capex_ship2*10^6+$E241+NPV(dr_lo_ship2,$F241:K241)</f>
        <v>0</v>
      </c>
      <c r="L307" s="56">
        <f>-capex_ship2*10^6+$E241+NPV(dr_lo_ship2,$F241:L241)</f>
        <v>0</v>
      </c>
      <c r="M307" s="56">
        <f>-capex_ship2*10^6+$E241+NPV(dr_lo_ship2,$F241:M241)</f>
        <v>0</v>
      </c>
      <c r="N307" s="56">
        <f>-capex_ship2*10^6+$E241+NPV(dr_lo_ship2,$F241:N241)</f>
        <v>0</v>
      </c>
      <c r="O307" s="56">
        <f>-capex_ship2*10^6+$E241+NPV(dr_lo_ship2,$F241:O241)</f>
        <v>0</v>
      </c>
      <c r="P307" s="56">
        <f>-capex_ship2*10^6+$E241+NPV(dr_lo_ship2,$F241:P241)</f>
        <v>0</v>
      </c>
      <c r="Q307" s="56">
        <f>-capex_ship2*10^6+$E241+NPV(dr_lo_ship2,$F241:Q241)</f>
        <v>0</v>
      </c>
      <c r="R307" s="56">
        <f>-capex_ship2*10^6+$E241+NPV(dr_lo_ship2,$F241:R241)</f>
        <v>0</v>
      </c>
      <c r="S307" s="56">
        <f>-capex_ship2*10^6+$E241+NPV(dr_lo_ship2,$F241:S241)</f>
        <v>0</v>
      </c>
      <c r="T307" s="56">
        <f>-capex_ship2*10^6+$E241+NPV(dr_lo_ship2,$F241:T241)</f>
        <v>0</v>
      </c>
      <c r="U307" s="56">
        <f>-capex_ship2*10^6+$E241+NPV(dr_lo_ship2,$F241:U241)</f>
        <v>0</v>
      </c>
      <c r="V307" s="56">
        <f>-capex_ship2*10^6+$E241+NPV(dr_lo_ship2,$F241:V241)</f>
        <v>0</v>
      </c>
      <c r="W307" s="56">
        <f>-capex_ship2*10^6+$E241+NPV(dr_lo_ship2,$F241:W241)</f>
        <v>0</v>
      </c>
      <c r="X307" s="56">
        <f>-capex_ship2*10^6+$E241+NPV(dr_lo_ship2,$F241:X241)</f>
        <v>0</v>
      </c>
      <c r="Y307" s="56">
        <f>-capex_ship2*10^6+$E241+NPV(dr_lo_ship2,$F241:Y241)</f>
        <v>0</v>
      </c>
      <c r="Z307" s="56">
        <f>-capex_ship2*10^6+$E241+NPV(dr_lo_ship2,$F241:Z241)</f>
        <v>0</v>
      </c>
    </row>
    <row r="308" spans="1:32" x14ac:dyDescent="0.2">
      <c r="A308" s="248"/>
      <c r="B308" s="248"/>
      <c r="C308" s="30" t="s">
        <v>18</v>
      </c>
      <c r="D308" s="60" t="e">
        <f>NA()</f>
        <v>#N/A</v>
      </c>
      <c r="E308" s="60">
        <f>-capex_ship2*10^6+$E242</f>
        <v>0</v>
      </c>
      <c r="F308" s="60">
        <f>-capex_ship2*10^6+$E242+NPV(dr_med_ship2,$F242:F242)</f>
        <v>0</v>
      </c>
      <c r="G308" s="60">
        <f>-capex_ship2*10^6+$E242+NPV(dr_med_ship2,$F242:G242)</f>
        <v>0</v>
      </c>
      <c r="H308" s="60">
        <f>-capex_ship2*10^6+$E242+NPV(dr_med_ship2,$F242:H242)</f>
        <v>0</v>
      </c>
      <c r="I308" s="60">
        <f>-capex_ship2*10^6+$E242+NPV(dr_med_ship2,$F242:I242)</f>
        <v>0</v>
      </c>
      <c r="J308" s="60">
        <f>-capex_ship2*10^6+$E242+NPV(dr_med_ship2,$F242:J242)</f>
        <v>0</v>
      </c>
      <c r="K308" s="60">
        <f>-capex_ship2*10^6+$E242+NPV(dr_med_ship2,$F242:K242)</f>
        <v>0</v>
      </c>
      <c r="L308" s="60">
        <f>-capex_ship2*10^6+$E242+NPV(dr_med_ship2,$F242:L242)</f>
        <v>0</v>
      </c>
      <c r="M308" s="60">
        <f>-capex_ship2*10^6+$E242+NPV(dr_med_ship2,$F242:M242)</f>
        <v>0</v>
      </c>
      <c r="N308" s="60">
        <f>-capex_ship2*10^6+$E242+NPV(dr_med_ship2,$F242:N242)</f>
        <v>0</v>
      </c>
      <c r="O308" s="60">
        <f>-capex_ship2*10^6+$E242+NPV(dr_med_ship2,$F242:O242)</f>
        <v>0</v>
      </c>
      <c r="P308" s="60">
        <f>-capex_ship2*10^6+$E242+NPV(dr_med_ship2,$F242:P242)</f>
        <v>0</v>
      </c>
      <c r="Q308" s="60">
        <f>-capex_ship2*10^6+$E242+NPV(dr_med_ship2,$F242:Q242)</f>
        <v>0</v>
      </c>
      <c r="R308" s="60">
        <f>-capex_ship2*10^6+$E242+NPV(dr_med_ship2,$F242:R242)</f>
        <v>0</v>
      </c>
      <c r="S308" s="60">
        <f>-capex_ship2*10^6+$E242+NPV(dr_med_ship2,$F242:S242)</f>
        <v>0</v>
      </c>
      <c r="T308" s="60">
        <f>-capex_ship2*10^6+$E242+NPV(dr_med_ship2,$F242:T242)</f>
        <v>0</v>
      </c>
      <c r="U308" s="60">
        <f>-capex_ship2*10^6+$E242+NPV(dr_med_ship2,$F242:U242)</f>
        <v>0</v>
      </c>
      <c r="V308" s="60">
        <f>-capex_ship2*10^6+$E242+NPV(dr_med_ship2,$F242:V242)</f>
        <v>0</v>
      </c>
      <c r="W308" s="60">
        <f>-capex_ship2*10^6+$E242+NPV(dr_med_ship2,$F242:W242)</f>
        <v>0</v>
      </c>
      <c r="X308" s="60">
        <f>-capex_ship2*10^6+$E242+NPV(dr_med_ship2,$F242:X242)</f>
        <v>0</v>
      </c>
      <c r="Y308" s="60">
        <f>-capex_ship2*10^6+$E242+NPV(dr_med_ship2,$F242:Y242)</f>
        <v>0</v>
      </c>
      <c r="Z308" s="60">
        <f>-capex_ship2*10^6+$E242+NPV(dr_med_ship2,$F242:Z242)</f>
        <v>0</v>
      </c>
    </row>
    <row r="309" spans="1:32" x14ac:dyDescent="0.2">
      <c r="A309" s="248"/>
      <c r="B309" s="248"/>
      <c r="C309" s="30" t="s">
        <v>19</v>
      </c>
      <c r="D309" s="63" t="e">
        <f>NA()</f>
        <v>#N/A</v>
      </c>
      <c r="E309" s="63">
        <f>-capex_ship2*10^6+$E243</f>
        <v>0</v>
      </c>
      <c r="F309" s="63">
        <f>-capex_ship2*10^6+$E243+NPV(dr_hi_ship2,$F243:F243)</f>
        <v>0</v>
      </c>
      <c r="G309" s="63">
        <f>-capex_ship2*10^6+$E243+NPV(dr_hi_ship2,$F243:G243)</f>
        <v>0</v>
      </c>
      <c r="H309" s="63">
        <f>-capex_ship2*10^6+$E243+NPV(dr_hi_ship2,$F243:H243)</f>
        <v>0</v>
      </c>
      <c r="I309" s="63">
        <f>-capex_ship2*10^6+$E243+NPV(dr_hi_ship2,$F243:I243)</f>
        <v>0</v>
      </c>
      <c r="J309" s="63">
        <f>-capex_ship2*10^6+$E243+NPV(dr_hi_ship2,$F243:J243)</f>
        <v>0</v>
      </c>
      <c r="K309" s="63">
        <f>-capex_ship2*10^6+$E243+NPV(dr_hi_ship2,$F243:K243)</f>
        <v>0</v>
      </c>
      <c r="L309" s="63">
        <f>-capex_ship2*10^6+$E243+NPV(dr_hi_ship2,$F243:L243)</f>
        <v>0</v>
      </c>
      <c r="M309" s="63">
        <f>-capex_ship2*10^6+$E243+NPV(dr_hi_ship2,$F243:M243)</f>
        <v>0</v>
      </c>
      <c r="N309" s="63">
        <f>-capex_ship2*10^6+$E243+NPV(dr_hi_ship2,$F243:N243)</f>
        <v>0</v>
      </c>
      <c r="O309" s="63">
        <f>-capex_ship2*10^6+$E243+NPV(dr_hi_ship2,$F243:O243)</f>
        <v>0</v>
      </c>
      <c r="P309" s="63">
        <f>-capex_ship2*10^6+$E243+NPV(dr_hi_ship2,$F243:P243)</f>
        <v>0</v>
      </c>
      <c r="Q309" s="63">
        <f>-capex_ship2*10^6+$E243+NPV(dr_hi_ship2,$F243:Q243)</f>
        <v>0</v>
      </c>
      <c r="R309" s="63">
        <f>-capex_ship2*10^6+$E243+NPV(dr_hi_ship2,$F243:R243)</f>
        <v>0</v>
      </c>
      <c r="S309" s="63">
        <f>-capex_ship2*10^6+$E243+NPV(dr_hi_ship2,$F243:S243)</f>
        <v>0</v>
      </c>
      <c r="T309" s="63">
        <f>-capex_ship2*10^6+$E243+NPV(dr_hi_ship2,$F243:T243)</f>
        <v>0</v>
      </c>
      <c r="U309" s="63">
        <f>-capex_ship2*10^6+$E243+NPV(dr_hi_ship2,$F243:U243)</f>
        <v>0</v>
      </c>
      <c r="V309" s="63">
        <f>-capex_ship2*10^6+$E243+NPV(dr_hi_ship2,$F243:V243)</f>
        <v>0</v>
      </c>
      <c r="W309" s="63">
        <f>-capex_ship2*10^6+$E243+NPV(dr_hi_ship2,$F243:W243)</f>
        <v>0</v>
      </c>
      <c r="X309" s="63">
        <f>-capex_ship2*10^6+$E243+NPV(dr_hi_ship2,$F243:X243)</f>
        <v>0</v>
      </c>
      <c r="Y309" s="63">
        <f>-capex_ship2*10^6+$E243+NPV(dr_hi_ship2,$F243:Y243)</f>
        <v>0</v>
      </c>
      <c r="Z309" s="63">
        <f>-capex_ship2*10^6+$E243+NPV(dr_hi_ship2,$F243:Z243)</f>
        <v>0</v>
      </c>
    </row>
    <row r="310" spans="1:32" x14ac:dyDescent="0.2">
      <c r="A310" s="248"/>
      <c r="B310" s="248">
        <f>ship3</f>
        <v>0</v>
      </c>
      <c r="C310" s="30" t="s">
        <v>17</v>
      </c>
      <c r="D310" s="56" t="e">
        <f>NA()</f>
        <v>#N/A</v>
      </c>
      <c r="E310" s="56">
        <f>-capex_ship3*10^6+$E244</f>
        <v>0</v>
      </c>
      <c r="F310" s="56">
        <f>-capex_ship3*10^6+$E244+NPV(dr_lo_ship3,$F244:F244)</f>
        <v>0</v>
      </c>
      <c r="G310" s="56">
        <f>-capex_ship3*10^6+$E244+NPV(dr_lo_ship3,$F244:G244)</f>
        <v>0</v>
      </c>
      <c r="H310" s="56">
        <f>-capex_ship3*10^6+$E244+NPV(dr_lo_ship3,$F244:H244)</f>
        <v>0</v>
      </c>
      <c r="I310" s="56">
        <f>-capex_ship3*10^6+$E244+NPV(dr_lo_ship3,$F244:I244)</f>
        <v>0</v>
      </c>
      <c r="J310" s="56">
        <f>-capex_ship3*10^6+$E244+NPV(dr_lo_ship3,$F244:J244)</f>
        <v>0</v>
      </c>
      <c r="K310" s="56">
        <f>-capex_ship3*10^6+$E244+NPV(dr_lo_ship3,$F244:K244)</f>
        <v>0</v>
      </c>
      <c r="L310" s="56">
        <f>-capex_ship3*10^6+$E244+NPV(dr_lo_ship3,$F244:L244)</f>
        <v>0</v>
      </c>
      <c r="M310" s="56">
        <f>-capex_ship3*10^6+$E244+NPV(dr_lo_ship3,$F244:M244)</f>
        <v>0</v>
      </c>
      <c r="N310" s="56">
        <f>-capex_ship3*10^6+$E244+NPV(dr_lo_ship3,$F244:N244)</f>
        <v>0</v>
      </c>
      <c r="O310" s="56">
        <f>-capex_ship3*10^6+$E244+NPV(dr_lo_ship3,$F244:O244)</f>
        <v>0</v>
      </c>
      <c r="P310" s="56">
        <f>-capex_ship3*10^6+$E244+NPV(dr_lo_ship3,$F244:P244)</f>
        <v>0</v>
      </c>
      <c r="Q310" s="56">
        <f>-capex_ship3*10^6+$E244+NPV(dr_lo_ship3,$F244:Q244)</f>
        <v>0</v>
      </c>
      <c r="R310" s="56">
        <f>-capex_ship3*10^6+$E244+NPV(dr_lo_ship3,$F244:R244)</f>
        <v>0</v>
      </c>
      <c r="S310" s="56">
        <f>-capex_ship3*10^6+$E244+NPV(dr_lo_ship3,$F244:S244)</f>
        <v>0</v>
      </c>
      <c r="T310" s="56">
        <f>-capex_ship3*10^6+$E244+NPV(dr_lo_ship3,$F244:T244)</f>
        <v>0</v>
      </c>
      <c r="U310" s="56">
        <f>-capex_ship3*10^6+$E244+NPV(dr_lo_ship3,$F244:U244)</f>
        <v>0</v>
      </c>
      <c r="V310" s="56">
        <f>-capex_ship3*10^6+$E244+NPV(dr_lo_ship3,$F244:V244)</f>
        <v>0</v>
      </c>
      <c r="W310" s="56">
        <f>-capex_ship3*10^6+$E244+NPV(dr_lo_ship3,$F244:W244)</f>
        <v>0</v>
      </c>
      <c r="X310" s="56">
        <f>-capex_ship3*10^6+$E244+NPV(dr_lo_ship3,$F244:X244)</f>
        <v>0</v>
      </c>
      <c r="Y310" s="56">
        <f>-capex_ship3*10^6+$E244+NPV(dr_lo_ship3,$F244:Y244)</f>
        <v>0</v>
      </c>
      <c r="Z310" s="56">
        <f>-capex_ship3*10^6+$E244+NPV(dr_lo_ship3,$F244:Z244)</f>
        <v>0</v>
      </c>
    </row>
    <row r="311" spans="1:32" x14ac:dyDescent="0.2">
      <c r="A311" s="248"/>
      <c r="B311" s="248"/>
      <c r="C311" s="30" t="s">
        <v>18</v>
      </c>
      <c r="D311" s="60" t="e">
        <f>NA()</f>
        <v>#N/A</v>
      </c>
      <c r="E311" s="60">
        <f>-capex_ship3*10^6+$E245</f>
        <v>0</v>
      </c>
      <c r="F311" s="60">
        <f>-capex_ship3*10^6+$E245+NPV(dr_med_ship3,$F245:F245)</f>
        <v>0</v>
      </c>
      <c r="G311" s="60">
        <f>-capex_ship3*10^6+$E245+NPV(dr_med_ship3,$F245:G245)</f>
        <v>0</v>
      </c>
      <c r="H311" s="60">
        <f>-capex_ship3*10^6+$E245+NPV(dr_med_ship3,$F245:H245)</f>
        <v>0</v>
      </c>
      <c r="I311" s="60">
        <f>-capex_ship3*10^6+$E245+NPV(dr_med_ship3,$F245:I245)</f>
        <v>0</v>
      </c>
      <c r="J311" s="60">
        <f>-capex_ship3*10^6+$E245+NPV(dr_med_ship3,$F245:J245)</f>
        <v>0</v>
      </c>
      <c r="K311" s="60">
        <f>-capex_ship3*10^6+$E245+NPV(dr_med_ship3,$F245:K245)</f>
        <v>0</v>
      </c>
      <c r="L311" s="60">
        <f>-capex_ship3*10^6+$E245+NPV(dr_med_ship3,$F245:L245)</f>
        <v>0</v>
      </c>
      <c r="M311" s="60">
        <f>-capex_ship3*10^6+$E245+NPV(dr_med_ship3,$F245:M245)</f>
        <v>0</v>
      </c>
      <c r="N311" s="60">
        <f>-capex_ship3*10^6+$E245+NPV(dr_med_ship3,$F245:N245)</f>
        <v>0</v>
      </c>
      <c r="O311" s="60">
        <f>-capex_ship3*10^6+$E245+NPV(dr_med_ship3,$F245:O245)</f>
        <v>0</v>
      </c>
      <c r="P311" s="60">
        <f>-capex_ship3*10^6+$E245+NPV(dr_med_ship3,$F245:P245)</f>
        <v>0</v>
      </c>
      <c r="Q311" s="60">
        <f>-capex_ship3*10^6+$E245+NPV(dr_med_ship3,$F245:Q245)</f>
        <v>0</v>
      </c>
      <c r="R311" s="60">
        <f>-capex_ship3*10^6+$E245+NPV(dr_med_ship3,$F245:R245)</f>
        <v>0</v>
      </c>
      <c r="S311" s="60">
        <f>-capex_ship3*10^6+$E245+NPV(dr_med_ship3,$F245:S245)</f>
        <v>0</v>
      </c>
      <c r="T311" s="60">
        <f>-capex_ship3*10^6+$E245+NPV(dr_med_ship3,$F245:T245)</f>
        <v>0</v>
      </c>
      <c r="U311" s="60">
        <f>-capex_ship3*10^6+$E245+NPV(dr_med_ship3,$F245:U245)</f>
        <v>0</v>
      </c>
      <c r="V311" s="60">
        <f>-capex_ship3*10^6+$E245+NPV(dr_med_ship3,$F245:V245)</f>
        <v>0</v>
      </c>
      <c r="W311" s="60">
        <f>-capex_ship3*10^6+$E245+NPV(dr_med_ship3,$F245:W245)</f>
        <v>0</v>
      </c>
      <c r="X311" s="60">
        <f>-capex_ship3*10^6+$E245+NPV(dr_med_ship3,$F245:X245)</f>
        <v>0</v>
      </c>
      <c r="Y311" s="60">
        <f>-capex_ship3*10^6+$E245+NPV(dr_med_ship3,$F245:Y245)</f>
        <v>0</v>
      </c>
      <c r="Z311" s="60">
        <f>-capex_ship3*10^6+$E245+NPV(dr_med_ship3,$F245:Z245)</f>
        <v>0</v>
      </c>
    </row>
    <row r="312" spans="1:32" x14ac:dyDescent="0.2">
      <c r="A312" s="248"/>
      <c r="B312" s="248"/>
      <c r="C312" s="30" t="s">
        <v>19</v>
      </c>
      <c r="D312" s="63" t="e">
        <f>NA()</f>
        <v>#N/A</v>
      </c>
      <c r="E312" s="63">
        <f>-capex_ship3*10^6+$E246</f>
        <v>0</v>
      </c>
      <c r="F312" s="63">
        <f>-capex_ship3*10^6+$E246+NPV(dr_hi_ship3,$F246:F246)</f>
        <v>0</v>
      </c>
      <c r="G312" s="63">
        <f>-capex_ship3*10^6+$E246+NPV(dr_hi_ship3,$F246:G246)</f>
        <v>0</v>
      </c>
      <c r="H312" s="63">
        <f>-capex_ship3*10^6+$E246+NPV(dr_hi_ship3,$F246:H246)</f>
        <v>0</v>
      </c>
      <c r="I312" s="63">
        <f>-capex_ship3*10^6+$E246+NPV(dr_hi_ship3,$F246:I246)</f>
        <v>0</v>
      </c>
      <c r="J312" s="63">
        <f>-capex_ship3*10^6+$E246+NPV(dr_hi_ship3,$F246:J246)</f>
        <v>0</v>
      </c>
      <c r="K312" s="63">
        <f>-capex_ship3*10^6+$E246+NPV(dr_hi_ship3,$F246:K246)</f>
        <v>0</v>
      </c>
      <c r="L312" s="63">
        <f>-capex_ship3*10^6+$E246+NPV(dr_hi_ship3,$F246:L246)</f>
        <v>0</v>
      </c>
      <c r="M312" s="63">
        <f>-capex_ship3*10^6+$E246+NPV(dr_hi_ship3,$F246:M246)</f>
        <v>0</v>
      </c>
      <c r="N312" s="63">
        <f>-capex_ship3*10^6+$E246+NPV(dr_hi_ship3,$F246:N246)</f>
        <v>0</v>
      </c>
      <c r="O312" s="63">
        <f>-capex_ship3*10^6+$E246+NPV(dr_hi_ship3,$F246:O246)</f>
        <v>0</v>
      </c>
      <c r="P312" s="63">
        <f>-capex_ship3*10^6+$E246+NPV(dr_hi_ship3,$F246:P246)</f>
        <v>0</v>
      </c>
      <c r="Q312" s="63">
        <f>-capex_ship3*10^6+$E246+NPV(dr_hi_ship3,$F246:Q246)</f>
        <v>0</v>
      </c>
      <c r="R312" s="63">
        <f>-capex_ship3*10^6+$E246+NPV(dr_hi_ship3,$F246:R246)</f>
        <v>0</v>
      </c>
      <c r="S312" s="63">
        <f>-capex_ship3*10^6+$E246+NPV(dr_hi_ship3,$F246:S246)</f>
        <v>0</v>
      </c>
      <c r="T312" s="63">
        <f>-capex_ship3*10^6+$E246+NPV(dr_hi_ship3,$F246:T246)</f>
        <v>0</v>
      </c>
      <c r="U312" s="63">
        <f>-capex_ship3*10^6+$E246+NPV(dr_hi_ship3,$F246:U246)</f>
        <v>0</v>
      </c>
      <c r="V312" s="63">
        <f>-capex_ship3*10^6+$E246+NPV(dr_hi_ship3,$F246:V246)</f>
        <v>0</v>
      </c>
      <c r="W312" s="63">
        <f>-capex_ship3*10^6+$E246+NPV(dr_hi_ship3,$F246:W246)</f>
        <v>0</v>
      </c>
      <c r="X312" s="63">
        <f>-capex_ship3*10^6+$E246+NPV(dr_hi_ship3,$F246:X246)</f>
        <v>0</v>
      </c>
      <c r="Y312" s="63">
        <f>-capex_ship3*10^6+$E246+NPV(dr_hi_ship3,$F246:Y246)</f>
        <v>0</v>
      </c>
      <c r="Z312" s="63">
        <f>-capex_ship3*10^6+$E246+NPV(dr_hi_ship3,$F246:Z246)</f>
        <v>0</v>
      </c>
    </row>
    <row r="313" spans="1:32" x14ac:dyDescent="0.2">
      <c r="A313" s="248"/>
      <c r="B313" s="248">
        <f>ship4</f>
        <v>0</v>
      </c>
      <c r="C313" s="30" t="s">
        <v>17</v>
      </c>
      <c r="D313" s="56" t="e">
        <f>NA()</f>
        <v>#N/A</v>
      </c>
      <c r="E313" s="56">
        <f>-capex_ship4*10^6+$E247</f>
        <v>0</v>
      </c>
      <c r="F313" s="56">
        <f>-capex_ship4*10^6+$E247+NPV(dr_lo_ship4,$F247:F247)</f>
        <v>0</v>
      </c>
      <c r="G313" s="56">
        <f>-capex_ship4*10^6+$E247+NPV(dr_lo_ship4,$F247:G247)</f>
        <v>0</v>
      </c>
      <c r="H313" s="56">
        <f>-capex_ship4*10^6+$E247+NPV(dr_lo_ship4,$F247:H247)</f>
        <v>0</v>
      </c>
      <c r="I313" s="56">
        <f>-capex_ship4*10^6+$E247+NPV(dr_lo_ship4,$F247:I247)</f>
        <v>0</v>
      </c>
      <c r="J313" s="56">
        <f>-capex_ship4*10^6+$E247+NPV(dr_lo_ship4,$F247:J247)</f>
        <v>0</v>
      </c>
      <c r="K313" s="56">
        <f>-capex_ship4*10^6+$E247+NPV(dr_lo_ship4,$F247:K247)</f>
        <v>0</v>
      </c>
      <c r="L313" s="56">
        <f>-capex_ship4*10^6+$E247+NPV(dr_lo_ship4,$F247:L247)</f>
        <v>0</v>
      </c>
      <c r="M313" s="56">
        <f>-capex_ship4*10^6+$E247+NPV(dr_lo_ship4,$F247:M247)</f>
        <v>0</v>
      </c>
      <c r="N313" s="56">
        <f>-capex_ship4*10^6+$E247+NPV(dr_lo_ship4,$F247:N247)</f>
        <v>0</v>
      </c>
      <c r="O313" s="56">
        <f>-capex_ship4*10^6+$E247+NPV(dr_lo_ship4,$F247:O247)</f>
        <v>0</v>
      </c>
      <c r="P313" s="56">
        <f>-capex_ship4*10^6+$E247+NPV(dr_lo_ship4,$F247:P247)</f>
        <v>0</v>
      </c>
      <c r="Q313" s="56">
        <f>-capex_ship4*10^6+$E247+NPV(dr_lo_ship4,$F247:Q247)</f>
        <v>0</v>
      </c>
      <c r="R313" s="56">
        <f>-capex_ship4*10^6+$E247+NPV(dr_lo_ship4,$F247:R247)</f>
        <v>0</v>
      </c>
      <c r="S313" s="56">
        <f>-capex_ship4*10^6+$E247+NPV(dr_lo_ship4,$F247:S247)</f>
        <v>0</v>
      </c>
      <c r="T313" s="56">
        <f>-capex_ship4*10^6+$E247+NPV(dr_lo_ship4,$F247:T247)</f>
        <v>0</v>
      </c>
      <c r="U313" s="56">
        <f>-capex_ship4*10^6+$E247+NPV(dr_lo_ship4,$F247:U247)</f>
        <v>0</v>
      </c>
      <c r="V313" s="56">
        <f>-capex_ship4*10^6+$E247+NPV(dr_lo_ship4,$F247:V247)</f>
        <v>0</v>
      </c>
      <c r="W313" s="56">
        <f>-capex_ship4*10^6+$E247+NPV(dr_lo_ship4,$F247:W247)</f>
        <v>0</v>
      </c>
      <c r="X313" s="56">
        <f>-capex_ship4*10^6+$E247+NPV(dr_lo_ship4,$F247:X247)</f>
        <v>0</v>
      </c>
      <c r="Y313" s="56">
        <f>-capex_ship4*10^6+$E247+NPV(dr_lo_ship4,$F247:Y247)</f>
        <v>0</v>
      </c>
      <c r="Z313" s="56">
        <f>-capex_ship4*10^6+$E247+NPV(dr_lo_ship4,$F247:Z247)</f>
        <v>0</v>
      </c>
    </row>
    <row r="314" spans="1:32" x14ac:dyDescent="0.2">
      <c r="A314" s="248"/>
      <c r="B314" s="248"/>
      <c r="C314" s="30" t="s">
        <v>18</v>
      </c>
      <c r="D314" s="60" t="e">
        <f>NA()</f>
        <v>#N/A</v>
      </c>
      <c r="E314" s="60">
        <f>-capex_ship4*10^6+$E248</f>
        <v>0</v>
      </c>
      <c r="F314" s="60">
        <f>-capex_ship4*10^6+$E248+NPV(dr_med_ship4,$F248:F248)</f>
        <v>0</v>
      </c>
      <c r="G314" s="60">
        <f>-capex_ship4*10^6+$E248+NPV(dr_med_ship4,$F248:G248)</f>
        <v>0</v>
      </c>
      <c r="H314" s="60">
        <f>-capex_ship4*10^6+$E248+NPV(dr_med_ship4,$F248:H248)</f>
        <v>0</v>
      </c>
      <c r="I314" s="60">
        <f>-capex_ship4*10^6+$E248+NPV(dr_med_ship4,$F248:I248)</f>
        <v>0</v>
      </c>
      <c r="J314" s="60">
        <f>-capex_ship4*10^6+$E248+NPV(dr_med_ship4,$F248:J248)</f>
        <v>0</v>
      </c>
      <c r="K314" s="60">
        <f>-capex_ship4*10^6+$E248+NPV(dr_med_ship4,$F248:K248)</f>
        <v>0</v>
      </c>
      <c r="L314" s="60">
        <f>-capex_ship4*10^6+$E248+NPV(dr_med_ship4,$F248:L248)</f>
        <v>0</v>
      </c>
      <c r="M314" s="60">
        <f>-capex_ship4*10^6+$E248+NPV(dr_med_ship4,$F248:M248)</f>
        <v>0</v>
      </c>
      <c r="N314" s="60">
        <f>-capex_ship4*10^6+$E248+NPV(dr_med_ship4,$F248:N248)</f>
        <v>0</v>
      </c>
      <c r="O314" s="60">
        <f>-capex_ship4*10^6+$E248+NPV(dr_med_ship4,$F248:O248)</f>
        <v>0</v>
      </c>
      <c r="P314" s="60">
        <f>-capex_ship4*10^6+$E248+NPV(dr_med_ship4,$F248:P248)</f>
        <v>0</v>
      </c>
      <c r="Q314" s="60">
        <f>-capex_ship4*10^6+$E248+NPV(dr_med_ship4,$F248:Q248)</f>
        <v>0</v>
      </c>
      <c r="R314" s="60">
        <f>-capex_ship4*10^6+$E248+NPV(dr_med_ship4,$F248:R248)</f>
        <v>0</v>
      </c>
      <c r="S314" s="60">
        <f>-capex_ship4*10^6+$E248+NPV(dr_med_ship4,$F248:S248)</f>
        <v>0</v>
      </c>
      <c r="T314" s="60">
        <f>-capex_ship4*10^6+$E248+NPV(dr_med_ship4,$F248:T248)</f>
        <v>0</v>
      </c>
      <c r="U314" s="60">
        <f>-capex_ship4*10^6+$E248+NPV(dr_med_ship4,$F248:U248)</f>
        <v>0</v>
      </c>
      <c r="V314" s="60">
        <f>-capex_ship4*10^6+$E248+NPV(dr_med_ship4,$F248:V248)</f>
        <v>0</v>
      </c>
      <c r="W314" s="60">
        <f>-capex_ship4*10^6+$E248+NPV(dr_med_ship4,$F248:W248)</f>
        <v>0</v>
      </c>
      <c r="X314" s="60">
        <f>-capex_ship4*10^6+$E248+NPV(dr_med_ship4,$F248:X248)</f>
        <v>0</v>
      </c>
      <c r="Y314" s="60">
        <f>-capex_ship4*10^6+$E248+NPV(dr_med_ship4,$F248:Y248)</f>
        <v>0</v>
      </c>
      <c r="Z314" s="60">
        <f>-capex_ship4*10^6+$E248+NPV(dr_med_ship4,$F248:Z248)</f>
        <v>0</v>
      </c>
    </row>
    <row r="315" spans="1:32" x14ac:dyDescent="0.2">
      <c r="A315" s="248"/>
      <c r="B315" s="248"/>
      <c r="C315" s="30" t="s">
        <v>19</v>
      </c>
      <c r="D315" s="63" t="e">
        <f>NA()</f>
        <v>#N/A</v>
      </c>
      <c r="E315" s="63">
        <f>-capex_ship4*10^6+$E249</f>
        <v>0</v>
      </c>
      <c r="F315" s="63">
        <f>-capex_ship4*10^6+$E249+NPV(dr_hi_ship4,$F249:F249)</f>
        <v>0</v>
      </c>
      <c r="G315" s="63">
        <f>-capex_ship4*10^6+$E249+NPV(dr_hi_ship4,$F249:G249)</f>
        <v>0</v>
      </c>
      <c r="H315" s="63">
        <f>-capex_ship4*10^6+$E249+NPV(dr_hi_ship4,$F249:H249)</f>
        <v>0</v>
      </c>
      <c r="I315" s="63">
        <f>-capex_ship4*10^6+$E249+NPV(dr_hi_ship4,$F249:I249)</f>
        <v>0</v>
      </c>
      <c r="J315" s="63">
        <f>-capex_ship4*10^6+$E249+NPV(dr_hi_ship4,$F249:J249)</f>
        <v>0</v>
      </c>
      <c r="K315" s="63">
        <f>-capex_ship4*10^6+$E249+NPV(dr_hi_ship4,$F249:K249)</f>
        <v>0</v>
      </c>
      <c r="L315" s="63">
        <f>-capex_ship4*10^6+$E249+NPV(dr_hi_ship4,$F249:L249)</f>
        <v>0</v>
      </c>
      <c r="M315" s="63">
        <f>-capex_ship4*10^6+$E249+NPV(dr_hi_ship4,$F249:M249)</f>
        <v>0</v>
      </c>
      <c r="N315" s="63">
        <f>-capex_ship4*10^6+$E249+NPV(dr_hi_ship4,$F249:N249)</f>
        <v>0</v>
      </c>
      <c r="O315" s="63">
        <f>-capex_ship4*10^6+$E249+NPV(dr_hi_ship4,$F249:O249)</f>
        <v>0</v>
      </c>
      <c r="P315" s="63">
        <f>-capex_ship4*10^6+$E249+NPV(dr_hi_ship4,$F249:P249)</f>
        <v>0</v>
      </c>
      <c r="Q315" s="63">
        <f>-capex_ship4*10^6+$E249+NPV(dr_hi_ship4,$F249:Q249)</f>
        <v>0</v>
      </c>
      <c r="R315" s="63">
        <f>-capex_ship4*10^6+$E249+NPV(dr_hi_ship4,$F249:R249)</f>
        <v>0</v>
      </c>
      <c r="S315" s="63">
        <f>-capex_ship4*10^6+$E249+NPV(dr_hi_ship4,$F249:S249)</f>
        <v>0</v>
      </c>
      <c r="T315" s="63">
        <f>-capex_ship4*10^6+$E249+NPV(dr_hi_ship4,$F249:T249)</f>
        <v>0</v>
      </c>
      <c r="U315" s="63">
        <f>-capex_ship4*10^6+$E249+NPV(dr_hi_ship4,$F249:U249)</f>
        <v>0</v>
      </c>
      <c r="V315" s="63">
        <f>-capex_ship4*10^6+$E249+NPV(dr_hi_ship4,$F249:V249)</f>
        <v>0</v>
      </c>
      <c r="W315" s="63">
        <f>-capex_ship4*10^6+$E249+NPV(dr_hi_ship4,$F249:W249)</f>
        <v>0</v>
      </c>
      <c r="X315" s="63">
        <f>-capex_ship4*10^6+$E249+NPV(dr_hi_ship4,$F249:X249)</f>
        <v>0</v>
      </c>
      <c r="Y315" s="63">
        <f>-capex_ship4*10^6+$E249+NPV(dr_hi_ship4,$F249:Y249)</f>
        <v>0</v>
      </c>
      <c r="Z315" s="63">
        <f>-capex_ship4*10^6+$E249+NPV(dr_hi_ship4,$F249:Z249)</f>
        <v>0</v>
      </c>
    </row>
    <row r="316" spans="1:32" x14ac:dyDescent="0.2">
      <c r="A316" s="248"/>
      <c r="B316" s="248">
        <f>ship5</f>
        <v>0</v>
      </c>
      <c r="C316" s="30" t="s">
        <v>17</v>
      </c>
      <c r="D316" s="56" t="e">
        <f>NA()</f>
        <v>#N/A</v>
      </c>
      <c r="E316" s="56">
        <f>-capex_ship5*10^6+$E250</f>
        <v>0</v>
      </c>
      <c r="F316" s="56">
        <f>-capex_ship5*10^6+$E250+NPV(dr_lo_ship5,$F250:F250)</f>
        <v>0</v>
      </c>
      <c r="G316" s="56">
        <f>-capex_ship5*10^6+$E250+NPV(dr_lo_ship5,$F250:G250)</f>
        <v>0</v>
      </c>
      <c r="H316" s="56">
        <f>-capex_ship5*10^6+$E250+NPV(dr_lo_ship5,$F250:H250)</f>
        <v>0</v>
      </c>
      <c r="I316" s="56">
        <f>-capex_ship5*10^6+$E250+NPV(dr_lo_ship5,$F250:I250)</f>
        <v>0</v>
      </c>
      <c r="J316" s="56">
        <f>-capex_ship5*10^6+$E250+NPV(dr_lo_ship5,$F250:J250)</f>
        <v>0</v>
      </c>
      <c r="K316" s="56">
        <f>-capex_ship5*10^6+$E250+NPV(dr_lo_ship5,$F250:K250)</f>
        <v>0</v>
      </c>
      <c r="L316" s="56">
        <f>-capex_ship5*10^6+$E250+NPV(dr_lo_ship5,$F250:L250)</f>
        <v>0</v>
      </c>
      <c r="M316" s="56">
        <f>-capex_ship5*10^6+$E250+NPV(dr_lo_ship5,$F250:M250)</f>
        <v>0</v>
      </c>
      <c r="N316" s="56">
        <f>-capex_ship5*10^6+$E250+NPV(dr_lo_ship5,$F250:N250)</f>
        <v>0</v>
      </c>
      <c r="O316" s="56">
        <f>-capex_ship5*10^6+$E250+NPV(dr_lo_ship5,$F250:O250)</f>
        <v>0</v>
      </c>
      <c r="P316" s="56">
        <f>-capex_ship5*10^6+$E250+NPV(dr_lo_ship5,$F250:P250)</f>
        <v>0</v>
      </c>
      <c r="Q316" s="56">
        <f>-capex_ship5*10^6+$E250+NPV(dr_lo_ship5,$F250:Q250)</f>
        <v>0</v>
      </c>
      <c r="R316" s="56">
        <f>-capex_ship5*10^6+$E250+NPV(dr_lo_ship5,$F250:R250)</f>
        <v>0</v>
      </c>
      <c r="S316" s="56">
        <f>-capex_ship5*10^6+$E250+NPV(dr_lo_ship5,$F250:S250)</f>
        <v>0</v>
      </c>
      <c r="T316" s="56">
        <f>-capex_ship5*10^6+$E250+NPV(dr_lo_ship5,$F250:T250)</f>
        <v>0</v>
      </c>
      <c r="U316" s="56">
        <f>-capex_ship5*10^6+$E250+NPV(dr_lo_ship5,$F250:U250)</f>
        <v>0</v>
      </c>
      <c r="V316" s="56">
        <f>-capex_ship5*10^6+$E250+NPV(dr_lo_ship5,$F250:V250)</f>
        <v>0</v>
      </c>
      <c r="W316" s="56">
        <f>-capex_ship5*10^6+$E250+NPV(dr_lo_ship5,$F250:W250)</f>
        <v>0</v>
      </c>
      <c r="X316" s="56">
        <f>-capex_ship5*10^6+$E250+NPV(dr_lo_ship5,$F250:X250)</f>
        <v>0</v>
      </c>
      <c r="Y316" s="56">
        <f>-capex_ship5*10^6+$E250+NPV(dr_lo_ship5,$F250:Y250)</f>
        <v>0</v>
      </c>
      <c r="Z316" s="56">
        <f>-capex_ship5*10^6+$E250+NPV(dr_lo_ship5,$F250:Z250)</f>
        <v>0</v>
      </c>
    </row>
    <row r="317" spans="1:32" x14ac:dyDescent="0.2">
      <c r="A317" s="248"/>
      <c r="B317" s="248"/>
      <c r="C317" s="30" t="s">
        <v>18</v>
      </c>
      <c r="D317" s="60" t="e">
        <f>NA()</f>
        <v>#N/A</v>
      </c>
      <c r="E317" s="60">
        <f>-capex_ship5*10^6+$E251</f>
        <v>0</v>
      </c>
      <c r="F317" s="60">
        <f>-capex_ship5*10^6+$E251+NPV(dr_med_ship5,$F251:F251)</f>
        <v>0</v>
      </c>
      <c r="G317" s="60">
        <f>-capex_ship5*10^6+$E251+NPV(dr_med_ship5,$F251:G251)</f>
        <v>0</v>
      </c>
      <c r="H317" s="60">
        <f>-capex_ship5*10^6+$E251+NPV(dr_med_ship5,$F251:H251)</f>
        <v>0</v>
      </c>
      <c r="I317" s="60">
        <f>-capex_ship5*10^6+$E251+NPV(dr_med_ship5,$F251:I251)</f>
        <v>0</v>
      </c>
      <c r="J317" s="60">
        <f>-capex_ship5*10^6+$E251+NPV(dr_med_ship5,$F251:J251)</f>
        <v>0</v>
      </c>
      <c r="K317" s="60">
        <f>-capex_ship5*10^6+$E251+NPV(dr_med_ship5,$F251:K251)</f>
        <v>0</v>
      </c>
      <c r="L317" s="60">
        <f>-capex_ship5*10^6+$E251+NPV(dr_med_ship5,$F251:L251)</f>
        <v>0</v>
      </c>
      <c r="M317" s="60">
        <f>-capex_ship5*10^6+$E251+NPV(dr_med_ship5,$F251:M251)</f>
        <v>0</v>
      </c>
      <c r="N317" s="60">
        <f>-capex_ship5*10^6+$E251+NPV(dr_med_ship5,$F251:N251)</f>
        <v>0</v>
      </c>
      <c r="O317" s="60">
        <f>-capex_ship5*10^6+$E251+NPV(dr_med_ship5,$F251:O251)</f>
        <v>0</v>
      </c>
      <c r="P317" s="60">
        <f>-capex_ship5*10^6+$E251+NPV(dr_med_ship5,$F251:P251)</f>
        <v>0</v>
      </c>
      <c r="Q317" s="60">
        <f>-capex_ship5*10^6+$E251+NPV(dr_med_ship5,$F251:Q251)</f>
        <v>0</v>
      </c>
      <c r="R317" s="60">
        <f>-capex_ship5*10^6+$E251+NPV(dr_med_ship5,$F251:R251)</f>
        <v>0</v>
      </c>
      <c r="S317" s="60">
        <f>-capex_ship5*10^6+$E251+NPV(dr_med_ship5,$F251:S251)</f>
        <v>0</v>
      </c>
      <c r="T317" s="60">
        <f>-capex_ship5*10^6+$E251+NPV(dr_med_ship5,$F251:T251)</f>
        <v>0</v>
      </c>
      <c r="U317" s="60">
        <f>-capex_ship5*10^6+$E251+NPV(dr_med_ship5,$F251:U251)</f>
        <v>0</v>
      </c>
      <c r="V317" s="60">
        <f>-capex_ship5*10^6+$E251+NPV(dr_med_ship5,$F251:V251)</f>
        <v>0</v>
      </c>
      <c r="W317" s="60">
        <f>-capex_ship5*10^6+$E251+NPV(dr_med_ship5,$F251:W251)</f>
        <v>0</v>
      </c>
      <c r="X317" s="60">
        <f>-capex_ship5*10^6+$E251+NPV(dr_med_ship5,$F251:X251)</f>
        <v>0</v>
      </c>
      <c r="Y317" s="60">
        <f>-capex_ship5*10^6+$E251+NPV(dr_med_ship5,$F251:Y251)</f>
        <v>0</v>
      </c>
      <c r="Z317" s="60">
        <f>-capex_ship5*10^6+$E251+NPV(dr_med_ship5,$F251:Z251)</f>
        <v>0</v>
      </c>
    </row>
    <row r="318" spans="1:32" x14ac:dyDescent="0.2">
      <c r="A318" s="248"/>
      <c r="B318" s="248"/>
      <c r="C318" s="30" t="s">
        <v>19</v>
      </c>
      <c r="D318" s="63" t="e">
        <f>NA()</f>
        <v>#N/A</v>
      </c>
      <c r="E318" s="63">
        <f>-capex_ship5*10^6+$E252</f>
        <v>0</v>
      </c>
      <c r="F318" s="63">
        <f>-capex_ship5*10^6+$E252+NPV(dr_hi_ship5,$F252:F252)</f>
        <v>0</v>
      </c>
      <c r="G318" s="63">
        <f>-capex_ship5*10^6+$E252+NPV(dr_hi_ship5,$F252:G252)</f>
        <v>0</v>
      </c>
      <c r="H318" s="63">
        <f>-capex_ship5*10^6+$E252+NPV(dr_hi_ship5,$F252:H252)</f>
        <v>0</v>
      </c>
      <c r="I318" s="63">
        <f>-capex_ship5*10^6+$E252+NPV(dr_hi_ship5,$F252:I252)</f>
        <v>0</v>
      </c>
      <c r="J318" s="63">
        <f>-capex_ship5*10^6+$E252+NPV(dr_hi_ship5,$F252:J252)</f>
        <v>0</v>
      </c>
      <c r="K318" s="63">
        <f>-capex_ship5*10^6+$E252+NPV(dr_hi_ship5,$F252:K252)</f>
        <v>0</v>
      </c>
      <c r="L318" s="63">
        <f>-capex_ship5*10^6+$E252+NPV(dr_hi_ship5,$F252:L252)</f>
        <v>0</v>
      </c>
      <c r="M318" s="63">
        <f>-capex_ship5*10^6+$E252+NPV(dr_hi_ship5,$F252:M252)</f>
        <v>0</v>
      </c>
      <c r="N318" s="63">
        <f>-capex_ship5*10^6+$E252+NPV(dr_hi_ship5,$F252:N252)</f>
        <v>0</v>
      </c>
      <c r="O318" s="63">
        <f>-capex_ship5*10^6+$E252+NPV(dr_hi_ship5,$F252:O252)</f>
        <v>0</v>
      </c>
      <c r="P318" s="63">
        <f>-capex_ship5*10^6+$E252+NPV(dr_hi_ship5,$F252:P252)</f>
        <v>0</v>
      </c>
      <c r="Q318" s="63">
        <f>-capex_ship5*10^6+$E252+NPV(dr_hi_ship5,$F252:Q252)</f>
        <v>0</v>
      </c>
      <c r="R318" s="63">
        <f>-capex_ship5*10^6+$E252+NPV(dr_hi_ship5,$F252:R252)</f>
        <v>0</v>
      </c>
      <c r="S318" s="63">
        <f>-capex_ship5*10^6+$E252+NPV(dr_hi_ship5,$F252:S252)</f>
        <v>0</v>
      </c>
      <c r="T318" s="63">
        <f>-capex_ship5*10^6+$E252+NPV(dr_hi_ship5,$F252:T252)</f>
        <v>0</v>
      </c>
      <c r="U318" s="63">
        <f>-capex_ship5*10^6+$E252+NPV(dr_hi_ship5,$F252:U252)</f>
        <v>0</v>
      </c>
      <c r="V318" s="63">
        <f>-capex_ship5*10^6+$E252+NPV(dr_hi_ship5,$F252:V252)</f>
        <v>0</v>
      </c>
      <c r="W318" s="63">
        <f>-capex_ship5*10^6+$E252+NPV(dr_hi_ship5,$F252:W252)</f>
        <v>0</v>
      </c>
      <c r="X318" s="63">
        <f>-capex_ship5*10^6+$E252+NPV(dr_hi_ship5,$F252:X252)</f>
        <v>0</v>
      </c>
      <c r="Y318" s="63">
        <f>-capex_ship5*10^6+$E252+NPV(dr_hi_ship5,$F252:Y252)</f>
        <v>0</v>
      </c>
      <c r="Z318" s="63">
        <f>-capex_ship5*10^6+$E252+NPV(dr_hi_ship5,$F252:Z252)</f>
        <v>0</v>
      </c>
    </row>
    <row r="319" spans="1:32" x14ac:dyDescent="0.2">
      <c r="A319" s="248"/>
      <c r="B319" s="248">
        <f>ship6</f>
        <v>0</v>
      </c>
      <c r="C319" s="30" t="s">
        <v>17</v>
      </c>
      <c r="D319" s="56" t="e">
        <f>NA()</f>
        <v>#N/A</v>
      </c>
      <c r="E319" s="56">
        <f>-capex_ship6*10^6+$E253</f>
        <v>0</v>
      </c>
      <c r="F319" s="56">
        <f>-capex_ship6*10^6+$E253+NPV(dr_lo_ship6,$F253:F253)</f>
        <v>0</v>
      </c>
      <c r="G319" s="56">
        <f>-capex_ship6*10^6+$E253+NPV(dr_lo_ship6,$F253:G253)</f>
        <v>0</v>
      </c>
      <c r="H319" s="56">
        <f>-capex_ship6*10^6+$E253+NPV(dr_lo_ship6,$F253:H253)</f>
        <v>0</v>
      </c>
      <c r="I319" s="56">
        <f>-capex_ship6*10^6+$E253+NPV(dr_lo_ship6,$F253:I253)</f>
        <v>0</v>
      </c>
      <c r="J319" s="56">
        <f>-capex_ship6*10^6+$E253+NPV(dr_lo_ship6,$F253:J253)</f>
        <v>0</v>
      </c>
      <c r="K319" s="56">
        <f>-capex_ship6*10^6+$E253+NPV(dr_lo_ship6,$F253:K253)</f>
        <v>0</v>
      </c>
      <c r="L319" s="56">
        <f>-capex_ship6*10^6+$E253+NPV(dr_lo_ship6,$F253:L253)</f>
        <v>0</v>
      </c>
      <c r="M319" s="56">
        <f>-capex_ship6*10^6+$E253+NPV(dr_lo_ship6,$F253:M253)</f>
        <v>0</v>
      </c>
      <c r="N319" s="56">
        <f>-capex_ship6*10^6+$E253+NPV(dr_lo_ship6,$F253:N253)</f>
        <v>0</v>
      </c>
      <c r="O319" s="56">
        <f>-capex_ship6*10^6+$E253+NPV(dr_lo_ship6,$F253:O253)</f>
        <v>0</v>
      </c>
      <c r="P319" s="56">
        <f>-capex_ship6*10^6+$E253+NPV(dr_lo_ship6,$F253:P253)</f>
        <v>0</v>
      </c>
      <c r="Q319" s="56">
        <f>-capex_ship6*10^6+$E253+NPV(dr_lo_ship6,$F253:Q253)</f>
        <v>0</v>
      </c>
      <c r="R319" s="56">
        <f>-capex_ship6*10^6+$E253+NPV(dr_lo_ship6,$F253:R253)</f>
        <v>0</v>
      </c>
      <c r="S319" s="56">
        <f>-capex_ship6*10^6+$E253+NPV(dr_lo_ship6,$F253:S253)</f>
        <v>0</v>
      </c>
      <c r="T319" s="56">
        <f>-capex_ship6*10^6+$E253+NPV(dr_lo_ship6,$F253:T253)</f>
        <v>0</v>
      </c>
      <c r="U319" s="56">
        <f>-capex_ship6*10^6+$E253+NPV(dr_lo_ship6,$F253:U253)</f>
        <v>0</v>
      </c>
      <c r="V319" s="56">
        <f>-capex_ship6*10^6+$E253+NPV(dr_lo_ship6,$F253:V253)</f>
        <v>0</v>
      </c>
      <c r="W319" s="56">
        <f>-capex_ship6*10^6+$E253+NPV(dr_lo_ship6,$F253:W253)</f>
        <v>0</v>
      </c>
      <c r="X319" s="56">
        <f>-capex_ship6*10^6+$E253+NPV(dr_lo_ship6,$F253:X253)</f>
        <v>0</v>
      </c>
      <c r="Y319" s="56">
        <f>-capex_ship6*10^6+$E253+NPV(dr_lo_ship6,$F253:Y253)</f>
        <v>0</v>
      </c>
      <c r="Z319" s="56">
        <f>-capex_ship6*10^6+$E253+NPV(dr_lo_ship6,$F253:Z253)</f>
        <v>0</v>
      </c>
    </row>
    <row r="320" spans="1:32" x14ac:dyDescent="0.2">
      <c r="A320" s="248"/>
      <c r="B320" s="248"/>
      <c r="C320" s="30" t="s">
        <v>18</v>
      </c>
      <c r="D320" s="60" t="e">
        <f>NA()</f>
        <v>#N/A</v>
      </c>
      <c r="E320" s="60">
        <f>-capex_ship6*10^6+$E254</f>
        <v>0</v>
      </c>
      <c r="F320" s="60">
        <f>-capex_ship6*10^6+$E254+NPV(dr_med_ship6,$F254:F254)</f>
        <v>0</v>
      </c>
      <c r="G320" s="60">
        <f>-capex_ship6*10^6+$E254+NPV(dr_med_ship6,$F254:G254)</f>
        <v>0</v>
      </c>
      <c r="H320" s="60">
        <f>-capex_ship6*10^6+$E254+NPV(dr_med_ship6,$F254:H254)</f>
        <v>0</v>
      </c>
      <c r="I320" s="60">
        <f>-capex_ship6*10^6+$E254+NPV(dr_med_ship6,$F254:I254)</f>
        <v>0</v>
      </c>
      <c r="J320" s="60">
        <f>-capex_ship6*10^6+$E254+NPV(dr_med_ship6,$F254:J254)</f>
        <v>0</v>
      </c>
      <c r="K320" s="60">
        <f>-capex_ship6*10^6+$E254+NPV(dr_med_ship6,$F254:K254)</f>
        <v>0</v>
      </c>
      <c r="L320" s="60">
        <f>-capex_ship6*10^6+$E254+NPV(dr_med_ship6,$F254:L254)</f>
        <v>0</v>
      </c>
      <c r="M320" s="60">
        <f>-capex_ship6*10^6+$E254+NPV(dr_med_ship6,$F254:M254)</f>
        <v>0</v>
      </c>
      <c r="N320" s="60">
        <f>-capex_ship6*10^6+$E254+NPV(dr_med_ship6,$F254:N254)</f>
        <v>0</v>
      </c>
      <c r="O320" s="60">
        <f>-capex_ship6*10^6+$E254+NPV(dr_med_ship6,$F254:O254)</f>
        <v>0</v>
      </c>
      <c r="P320" s="60">
        <f>-capex_ship6*10^6+$E254+NPV(dr_med_ship6,$F254:P254)</f>
        <v>0</v>
      </c>
      <c r="Q320" s="60">
        <f>-capex_ship6*10^6+$E254+NPV(dr_med_ship6,$F254:Q254)</f>
        <v>0</v>
      </c>
      <c r="R320" s="60">
        <f>-capex_ship6*10^6+$E254+NPV(dr_med_ship6,$F254:R254)</f>
        <v>0</v>
      </c>
      <c r="S320" s="60">
        <f>-capex_ship6*10^6+$E254+NPV(dr_med_ship6,$F254:S254)</f>
        <v>0</v>
      </c>
      <c r="T320" s="60">
        <f>-capex_ship6*10^6+$E254+NPV(dr_med_ship6,$F254:T254)</f>
        <v>0</v>
      </c>
      <c r="U320" s="60">
        <f>-capex_ship6*10^6+$E254+NPV(dr_med_ship6,$F254:U254)</f>
        <v>0</v>
      </c>
      <c r="V320" s="60">
        <f>-capex_ship6*10^6+$E254+NPV(dr_med_ship6,$F254:V254)</f>
        <v>0</v>
      </c>
      <c r="W320" s="60">
        <f>-capex_ship6*10^6+$E254+NPV(dr_med_ship6,$F254:W254)</f>
        <v>0</v>
      </c>
      <c r="X320" s="60">
        <f>-capex_ship6*10^6+$E254+NPV(dr_med_ship6,$F254:X254)</f>
        <v>0</v>
      </c>
      <c r="Y320" s="60">
        <f>-capex_ship6*10^6+$E254+NPV(dr_med_ship6,$F254:Y254)</f>
        <v>0</v>
      </c>
      <c r="Z320" s="60">
        <f>-capex_ship6*10^6+$E254+NPV(dr_med_ship6,$F254:Z254)</f>
        <v>0</v>
      </c>
    </row>
    <row r="321" spans="1:32" x14ac:dyDescent="0.2">
      <c r="A321" s="248"/>
      <c r="B321" s="248"/>
      <c r="C321" s="30" t="s">
        <v>19</v>
      </c>
      <c r="D321" s="63" t="e">
        <f>NA()</f>
        <v>#N/A</v>
      </c>
      <c r="E321" s="63">
        <f>-capex_ship6*10^6+$E255</f>
        <v>0</v>
      </c>
      <c r="F321" s="63">
        <f>-capex_ship6*10^6+$E255+NPV(dr_hi_ship6,$F255:F255)</f>
        <v>0</v>
      </c>
      <c r="G321" s="63">
        <f>-capex_ship6*10^6+$E255+NPV(dr_hi_ship6,$F255:G255)</f>
        <v>0</v>
      </c>
      <c r="H321" s="63">
        <f>-capex_ship6*10^6+$E255+NPV(dr_hi_ship6,$F255:H255)</f>
        <v>0</v>
      </c>
      <c r="I321" s="63">
        <f>-capex_ship6*10^6+$E255+NPV(dr_hi_ship6,$F255:I255)</f>
        <v>0</v>
      </c>
      <c r="J321" s="63">
        <f>-capex_ship6*10^6+$E255+NPV(dr_hi_ship6,$F255:J255)</f>
        <v>0</v>
      </c>
      <c r="K321" s="63">
        <f>-capex_ship6*10^6+$E255+NPV(dr_hi_ship6,$F255:K255)</f>
        <v>0</v>
      </c>
      <c r="L321" s="63">
        <f>-capex_ship6*10^6+$E255+NPV(dr_hi_ship6,$F255:L255)</f>
        <v>0</v>
      </c>
      <c r="M321" s="63">
        <f>-capex_ship6*10^6+$E255+NPV(dr_hi_ship6,$F255:M255)</f>
        <v>0</v>
      </c>
      <c r="N321" s="63">
        <f>-capex_ship6*10^6+$E255+NPV(dr_hi_ship6,$F255:N255)</f>
        <v>0</v>
      </c>
      <c r="O321" s="63">
        <f>-capex_ship6*10^6+$E255+NPV(dr_hi_ship6,$F255:O255)</f>
        <v>0</v>
      </c>
      <c r="P321" s="63">
        <f>-capex_ship6*10^6+$E255+NPV(dr_hi_ship6,$F255:P255)</f>
        <v>0</v>
      </c>
      <c r="Q321" s="63">
        <f>-capex_ship6*10^6+$E255+NPV(dr_hi_ship6,$F255:Q255)</f>
        <v>0</v>
      </c>
      <c r="R321" s="63">
        <f>-capex_ship6*10^6+$E255+NPV(dr_hi_ship6,$F255:R255)</f>
        <v>0</v>
      </c>
      <c r="S321" s="63">
        <f>-capex_ship6*10^6+$E255+NPV(dr_hi_ship6,$F255:S255)</f>
        <v>0</v>
      </c>
      <c r="T321" s="63">
        <f>-capex_ship6*10^6+$E255+NPV(dr_hi_ship6,$F255:T255)</f>
        <v>0</v>
      </c>
      <c r="U321" s="63">
        <f>-capex_ship6*10^6+$E255+NPV(dr_hi_ship6,$F255:U255)</f>
        <v>0</v>
      </c>
      <c r="V321" s="63">
        <f>-capex_ship6*10^6+$E255+NPV(dr_hi_ship6,$F255:V255)</f>
        <v>0</v>
      </c>
      <c r="W321" s="63">
        <f>-capex_ship6*10^6+$E255+NPV(dr_hi_ship6,$F255:W255)</f>
        <v>0</v>
      </c>
      <c r="X321" s="63">
        <f>-capex_ship6*10^6+$E255+NPV(dr_hi_ship6,$F255:X255)</f>
        <v>0</v>
      </c>
      <c r="Y321" s="63">
        <f>-capex_ship6*10^6+$E255+NPV(dr_hi_ship6,$F255:Y255)</f>
        <v>0</v>
      </c>
      <c r="Z321" s="63">
        <f>-capex_ship6*10^6+$E255+NPV(dr_hi_ship6,$F255:Z255)</f>
        <v>0</v>
      </c>
    </row>
    <row r="322" spans="1:32" ht="12.75" customHeight="1" x14ac:dyDescent="0.2">
      <c r="A322" s="248" t="s">
        <v>112</v>
      </c>
      <c r="B322" s="248">
        <f>ship_plot</f>
        <v>0</v>
      </c>
      <c r="C322" s="30" t="s">
        <v>17</v>
      </c>
      <c r="D322" s="56" t="e">
        <f t="shared" ref="D322:Z322" si="273">IF(ship_plot=ship1,D304,IF(ship_plot=ship2,D307,IF(ship_plot=ship3,D310,IF(ship_plot=ship4,D313,IF(ship_plot=ship5,D316,IF(ship_plot=ship6,D319,"error"))))))</f>
        <v>#N/A</v>
      </c>
      <c r="E322" s="56">
        <f t="shared" si="273"/>
        <v>0</v>
      </c>
      <c r="F322" s="56">
        <f t="shared" si="273"/>
        <v>0</v>
      </c>
      <c r="G322" s="56">
        <f t="shared" si="273"/>
        <v>0</v>
      </c>
      <c r="H322" s="56">
        <f t="shared" si="273"/>
        <v>0</v>
      </c>
      <c r="I322" s="56">
        <f t="shared" si="273"/>
        <v>0</v>
      </c>
      <c r="J322" s="56">
        <f t="shared" si="273"/>
        <v>0</v>
      </c>
      <c r="K322" s="56">
        <f t="shared" si="273"/>
        <v>0</v>
      </c>
      <c r="L322" s="56">
        <f t="shared" si="273"/>
        <v>0</v>
      </c>
      <c r="M322" s="56">
        <f t="shared" si="273"/>
        <v>0</v>
      </c>
      <c r="N322" s="56">
        <f t="shared" si="273"/>
        <v>0</v>
      </c>
      <c r="O322" s="56">
        <f t="shared" si="273"/>
        <v>0</v>
      </c>
      <c r="P322" s="56">
        <f t="shared" si="273"/>
        <v>0</v>
      </c>
      <c r="Q322" s="56">
        <f t="shared" si="273"/>
        <v>0</v>
      </c>
      <c r="R322" s="56">
        <f t="shared" si="273"/>
        <v>0</v>
      </c>
      <c r="S322" s="56">
        <f t="shared" si="273"/>
        <v>0</v>
      </c>
      <c r="T322" s="56">
        <f t="shared" si="273"/>
        <v>0</v>
      </c>
      <c r="U322" s="56">
        <f t="shared" si="273"/>
        <v>0</v>
      </c>
      <c r="V322" s="56">
        <f t="shared" si="273"/>
        <v>0</v>
      </c>
      <c r="W322" s="56">
        <f t="shared" si="273"/>
        <v>0</v>
      </c>
      <c r="X322" s="56">
        <f t="shared" si="273"/>
        <v>0</v>
      </c>
      <c r="Y322" s="56">
        <f t="shared" si="273"/>
        <v>0</v>
      </c>
      <c r="Z322" s="56">
        <f t="shared" si="273"/>
        <v>0</v>
      </c>
    </row>
    <row r="323" spans="1:32" x14ac:dyDescent="0.2">
      <c r="A323" s="248"/>
      <c r="B323" s="248"/>
      <c r="C323" s="30" t="s">
        <v>18</v>
      </c>
      <c r="D323" s="60" t="e">
        <f t="shared" ref="D323:Z323" si="274">IF(ship_plot=ship1,D305,IF(ship_plot=ship2,D308,IF(ship_plot=ship3,D311,IF(ship_plot=ship4,D314,IF(ship_plot=ship5,D317,IF(ship_plot=ship6,D320,"error"))))))</f>
        <v>#N/A</v>
      </c>
      <c r="E323" s="60">
        <f t="shared" si="274"/>
        <v>0</v>
      </c>
      <c r="F323" s="60">
        <f t="shared" si="274"/>
        <v>0</v>
      </c>
      <c r="G323" s="60">
        <f t="shared" si="274"/>
        <v>0</v>
      </c>
      <c r="H323" s="60">
        <f t="shared" si="274"/>
        <v>0</v>
      </c>
      <c r="I323" s="60">
        <f t="shared" si="274"/>
        <v>0</v>
      </c>
      <c r="J323" s="60">
        <f t="shared" si="274"/>
        <v>0</v>
      </c>
      <c r="K323" s="60">
        <f t="shared" si="274"/>
        <v>0</v>
      </c>
      <c r="L323" s="60">
        <f t="shared" si="274"/>
        <v>0</v>
      </c>
      <c r="M323" s="60">
        <f t="shared" si="274"/>
        <v>0</v>
      </c>
      <c r="N323" s="60">
        <f t="shared" si="274"/>
        <v>0</v>
      </c>
      <c r="O323" s="60">
        <f t="shared" si="274"/>
        <v>0</v>
      </c>
      <c r="P323" s="60">
        <f t="shared" si="274"/>
        <v>0</v>
      </c>
      <c r="Q323" s="60">
        <f t="shared" si="274"/>
        <v>0</v>
      </c>
      <c r="R323" s="60">
        <f t="shared" si="274"/>
        <v>0</v>
      </c>
      <c r="S323" s="60">
        <f t="shared" si="274"/>
        <v>0</v>
      </c>
      <c r="T323" s="60">
        <f t="shared" si="274"/>
        <v>0</v>
      </c>
      <c r="U323" s="60">
        <f t="shared" si="274"/>
        <v>0</v>
      </c>
      <c r="V323" s="60">
        <f t="shared" si="274"/>
        <v>0</v>
      </c>
      <c r="W323" s="60">
        <f t="shared" si="274"/>
        <v>0</v>
      </c>
      <c r="X323" s="60">
        <f t="shared" si="274"/>
        <v>0</v>
      </c>
      <c r="Y323" s="60">
        <f t="shared" si="274"/>
        <v>0</v>
      </c>
      <c r="Z323" s="60">
        <f t="shared" si="274"/>
        <v>0</v>
      </c>
    </row>
    <row r="324" spans="1:32" x14ac:dyDescent="0.2">
      <c r="A324" s="248"/>
      <c r="B324" s="248"/>
      <c r="C324" s="30" t="s">
        <v>19</v>
      </c>
      <c r="D324" s="63" t="e">
        <f t="shared" ref="D324:Z324" si="275">IF(ship_plot=ship1,D306,IF(ship_plot=ship2,D309,IF(ship_plot=ship3,D312,IF(ship_plot=ship4,D315,IF(ship_plot=ship5,D318,IF(ship_plot=ship6,D321,"error"))))))</f>
        <v>#N/A</v>
      </c>
      <c r="E324" s="63">
        <f t="shared" si="275"/>
        <v>0</v>
      </c>
      <c r="F324" s="63">
        <f t="shared" si="275"/>
        <v>0</v>
      </c>
      <c r="G324" s="63">
        <f t="shared" si="275"/>
        <v>0</v>
      </c>
      <c r="H324" s="63">
        <f t="shared" si="275"/>
        <v>0</v>
      </c>
      <c r="I324" s="63">
        <f t="shared" si="275"/>
        <v>0</v>
      </c>
      <c r="J324" s="63">
        <f t="shared" si="275"/>
        <v>0</v>
      </c>
      <c r="K324" s="63">
        <f t="shared" si="275"/>
        <v>0</v>
      </c>
      <c r="L324" s="63">
        <f t="shared" si="275"/>
        <v>0</v>
      </c>
      <c r="M324" s="63">
        <f t="shared" si="275"/>
        <v>0</v>
      </c>
      <c r="N324" s="63">
        <f t="shared" si="275"/>
        <v>0</v>
      </c>
      <c r="O324" s="63">
        <f t="shared" si="275"/>
        <v>0</v>
      </c>
      <c r="P324" s="63">
        <f t="shared" si="275"/>
        <v>0</v>
      </c>
      <c r="Q324" s="63">
        <f t="shared" si="275"/>
        <v>0</v>
      </c>
      <c r="R324" s="63">
        <f t="shared" si="275"/>
        <v>0</v>
      </c>
      <c r="S324" s="63">
        <f t="shared" si="275"/>
        <v>0</v>
      </c>
      <c r="T324" s="63">
        <f t="shared" si="275"/>
        <v>0</v>
      </c>
      <c r="U324" s="63">
        <f t="shared" si="275"/>
        <v>0</v>
      </c>
      <c r="V324" s="63">
        <f t="shared" si="275"/>
        <v>0</v>
      </c>
      <c r="W324" s="63">
        <f t="shared" si="275"/>
        <v>0</v>
      </c>
      <c r="X324" s="63">
        <f t="shared" si="275"/>
        <v>0</v>
      </c>
      <c r="Y324" s="63">
        <f t="shared" si="275"/>
        <v>0</v>
      </c>
      <c r="Z324" s="63">
        <f t="shared" si="275"/>
        <v>0</v>
      </c>
    </row>
    <row r="325" spans="1:32" ht="12.75" customHeight="1" x14ac:dyDescent="0.2">
      <c r="A325" s="76" t="s">
        <v>111</v>
      </c>
      <c r="B325" s="76">
        <f>ship_plot</f>
        <v>0</v>
      </c>
      <c r="C325" s="77">
        <f>scenario_display</f>
        <v>0</v>
      </c>
      <c r="D325" s="78" t="e">
        <f t="shared" ref="D325:Z325" si="276">IF(scenario_display="Low",D322,IF(scenario_display="Medium",D323,D324))</f>
        <v>#N/A</v>
      </c>
      <c r="E325" s="78">
        <f t="shared" si="276"/>
        <v>0</v>
      </c>
      <c r="F325" s="78">
        <f t="shared" si="276"/>
        <v>0</v>
      </c>
      <c r="G325" s="78">
        <f t="shared" si="276"/>
        <v>0</v>
      </c>
      <c r="H325" s="78">
        <f t="shared" si="276"/>
        <v>0</v>
      </c>
      <c r="I325" s="78">
        <f t="shared" si="276"/>
        <v>0</v>
      </c>
      <c r="J325" s="78">
        <f t="shared" si="276"/>
        <v>0</v>
      </c>
      <c r="K325" s="78">
        <f t="shared" si="276"/>
        <v>0</v>
      </c>
      <c r="L325" s="78">
        <f t="shared" si="276"/>
        <v>0</v>
      </c>
      <c r="M325" s="78">
        <f t="shared" si="276"/>
        <v>0</v>
      </c>
      <c r="N325" s="78">
        <f t="shared" si="276"/>
        <v>0</v>
      </c>
      <c r="O325" s="78">
        <f t="shared" si="276"/>
        <v>0</v>
      </c>
      <c r="P325" s="78">
        <f t="shared" si="276"/>
        <v>0</v>
      </c>
      <c r="Q325" s="78">
        <f t="shared" si="276"/>
        <v>0</v>
      </c>
      <c r="R325" s="78">
        <f t="shared" si="276"/>
        <v>0</v>
      </c>
      <c r="S325" s="78">
        <f t="shared" si="276"/>
        <v>0</v>
      </c>
      <c r="T325" s="78">
        <f t="shared" si="276"/>
        <v>0</v>
      </c>
      <c r="U325" s="78">
        <f t="shared" si="276"/>
        <v>0</v>
      </c>
      <c r="V325" s="78">
        <f t="shared" si="276"/>
        <v>0</v>
      </c>
      <c r="W325" s="78">
        <f t="shared" si="276"/>
        <v>0</v>
      </c>
      <c r="X325" s="78">
        <f t="shared" si="276"/>
        <v>0</v>
      </c>
      <c r="Y325" s="78">
        <f t="shared" si="276"/>
        <v>0</v>
      </c>
      <c r="Z325" s="78">
        <f t="shared" si="276"/>
        <v>0</v>
      </c>
    </row>
    <row r="326" spans="1:32" x14ac:dyDescent="0.2">
      <c r="A326" s="248" t="s">
        <v>113</v>
      </c>
      <c r="B326" s="248">
        <f>ship1</f>
        <v>0</v>
      </c>
      <c r="C326" s="30" t="s">
        <v>17</v>
      </c>
      <c r="D326" s="56" t="e">
        <f>NA()</f>
        <v>#N/A</v>
      </c>
      <c r="E326" s="56" t="e">
        <f>NA()</f>
        <v>#N/A</v>
      </c>
      <c r="F326" s="56">
        <f>-capex_ship1*10^6+$F238</f>
        <v>0</v>
      </c>
      <c r="G326" s="56">
        <f>-capex_ship1*10^6+$F238+NPV(dr_lo_ship1,$G238:G238)</f>
        <v>0</v>
      </c>
      <c r="H326" s="56">
        <f>-capex_ship1*10^6+$F238+NPV(dr_lo_ship1,$G238:H238)</f>
        <v>0</v>
      </c>
      <c r="I326" s="56">
        <f>-capex_ship1*10^6+$F238+NPV(dr_lo_ship1,$G238:I238)</f>
        <v>0</v>
      </c>
      <c r="J326" s="56">
        <f>-capex_ship1*10^6+$F238+NPV(dr_lo_ship1,$G238:J238)</f>
        <v>0</v>
      </c>
      <c r="K326" s="56">
        <f>-capex_ship1*10^6+$F238+NPV(dr_lo_ship1,$G238:K238)</f>
        <v>0</v>
      </c>
      <c r="L326" s="56">
        <f>-capex_ship1*10^6+$F238+NPV(dr_lo_ship1,$G238:L238)</f>
        <v>0</v>
      </c>
      <c r="M326" s="56">
        <f>-capex_ship1*10^6+$F238+NPV(dr_lo_ship1,$G238:M238)</f>
        <v>0</v>
      </c>
      <c r="N326" s="56">
        <f>-capex_ship1*10^6+$F238+NPV(dr_lo_ship1,$G238:N238)</f>
        <v>0</v>
      </c>
      <c r="O326" s="56">
        <f>-capex_ship1*10^6+$F238+NPV(dr_lo_ship1,$G238:O238)</f>
        <v>0</v>
      </c>
      <c r="P326" s="56">
        <f>-capex_ship1*10^6+$F238+NPV(dr_lo_ship1,$G238:P238)</f>
        <v>0</v>
      </c>
      <c r="Q326" s="56">
        <f>-capex_ship1*10^6+$F238+NPV(dr_lo_ship1,$G238:Q238)</f>
        <v>0</v>
      </c>
      <c r="R326" s="56">
        <f>-capex_ship1*10^6+$F238+NPV(dr_lo_ship1,$G238:R238)</f>
        <v>0</v>
      </c>
      <c r="S326" s="56">
        <f>-capex_ship1*10^6+$F238+NPV(dr_lo_ship1,$G238:S238)</f>
        <v>0</v>
      </c>
      <c r="T326" s="56">
        <f>-capex_ship1*10^6+$F238+NPV(dr_lo_ship1,$G238:T238)</f>
        <v>0</v>
      </c>
      <c r="U326" s="56">
        <f>-capex_ship1*10^6+$F238+NPV(dr_lo_ship1,$G238:U238)</f>
        <v>0</v>
      </c>
      <c r="V326" s="56">
        <f>-capex_ship1*10^6+$F238+NPV(dr_lo_ship1,$G238:V238)</f>
        <v>0</v>
      </c>
      <c r="W326" s="56">
        <f>-capex_ship1*10^6+$F238+NPV(dr_lo_ship1,$G238:W238)</f>
        <v>0</v>
      </c>
      <c r="X326" s="56">
        <f>-capex_ship1*10^6+$F238+NPV(dr_lo_ship1,$G238:X238)</f>
        <v>0</v>
      </c>
      <c r="Y326" s="56">
        <f>-capex_ship1*10^6+$F238+NPV(dr_lo_ship1,$G238:Y238)</f>
        <v>0</v>
      </c>
      <c r="Z326" s="56">
        <f>-capex_ship1*10^6+$F238+NPV(dr_lo_ship1,$G238:Z238)</f>
        <v>0</v>
      </c>
    </row>
    <row r="327" spans="1:32" x14ac:dyDescent="0.2">
      <c r="A327" s="248"/>
      <c r="B327" s="248"/>
      <c r="C327" s="30" t="s">
        <v>18</v>
      </c>
      <c r="D327" s="60" t="e">
        <f>NA()</f>
        <v>#N/A</v>
      </c>
      <c r="E327" s="60" t="e">
        <f>NA()</f>
        <v>#N/A</v>
      </c>
      <c r="F327" s="60">
        <f>-capex_ship1*10^6+$F239</f>
        <v>0</v>
      </c>
      <c r="G327" s="60">
        <f>-capex_ship1*10^6+$F239+NPV(dr_med_ship1,$G239:G239)</f>
        <v>0</v>
      </c>
      <c r="H327" s="60">
        <f>-capex_ship1*10^6+$F239+NPV(dr_med_ship1,$G239:H239)</f>
        <v>0</v>
      </c>
      <c r="I327" s="60">
        <f>-capex_ship1*10^6+$F239+NPV(dr_med_ship1,$G239:I239)</f>
        <v>0</v>
      </c>
      <c r="J327" s="60">
        <f>-capex_ship1*10^6+$F239+NPV(dr_med_ship1,$G239:J239)</f>
        <v>0</v>
      </c>
      <c r="K327" s="60">
        <f>-capex_ship1*10^6+$F239+NPV(dr_med_ship1,$G239:K239)</f>
        <v>0</v>
      </c>
      <c r="L327" s="60">
        <f>-capex_ship1*10^6+$F239+NPV(dr_med_ship1,$G239:L239)</f>
        <v>0</v>
      </c>
      <c r="M327" s="60">
        <f>-capex_ship1*10^6+$F239+NPV(dr_med_ship1,$G239:M239)</f>
        <v>0</v>
      </c>
      <c r="N327" s="60">
        <f>-capex_ship1*10^6+$F239+NPV(dr_med_ship1,$G239:N239)</f>
        <v>0</v>
      </c>
      <c r="O327" s="60">
        <f>-capex_ship1*10^6+$F239+NPV(dr_med_ship1,$G239:O239)</f>
        <v>0</v>
      </c>
      <c r="P327" s="60">
        <f>-capex_ship1*10^6+$F239+NPV(dr_med_ship1,$G239:P239)</f>
        <v>0</v>
      </c>
      <c r="Q327" s="60">
        <f>-capex_ship1*10^6+$F239+NPV(dr_med_ship1,$G239:Q239)</f>
        <v>0</v>
      </c>
      <c r="R327" s="60">
        <f>-capex_ship1*10^6+$F239+NPV(dr_med_ship1,$G239:R239)</f>
        <v>0</v>
      </c>
      <c r="S327" s="60">
        <f>-capex_ship1*10^6+$F239+NPV(dr_med_ship1,$G239:S239)</f>
        <v>0</v>
      </c>
      <c r="T327" s="60">
        <f>-capex_ship1*10^6+$F239+NPV(dr_med_ship1,$G239:T239)</f>
        <v>0</v>
      </c>
      <c r="U327" s="60">
        <f>-capex_ship1*10^6+$F239+NPV(dr_med_ship1,$G239:U239)</f>
        <v>0</v>
      </c>
      <c r="V327" s="60">
        <f>-capex_ship1*10^6+$F239+NPV(dr_med_ship1,$G239:V239)</f>
        <v>0</v>
      </c>
      <c r="W327" s="60">
        <f>-capex_ship1*10^6+$F239+NPV(dr_med_ship1,$G239:W239)</f>
        <v>0</v>
      </c>
      <c r="X327" s="60">
        <f>-capex_ship1*10^6+$F239+NPV(dr_med_ship1,$G239:X239)</f>
        <v>0</v>
      </c>
      <c r="Y327" s="60">
        <f>-capex_ship1*10^6+$F239+NPV(dr_med_ship1,$G239:Y239)</f>
        <v>0</v>
      </c>
      <c r="Z327" s="60">
        <f>-capex_ship1*10^6+$F239+NPV(dr_med_ship1,$G239:Z239)</f>
        <v>0</v>
      </c>
    </row>
    <row r="328" spans="1:32" x14ac:dyDescent="0.2">
      <c r="A328" s="248"/>
      <c r="B328" s="248"/>
      <c r="C328" s="30" t="s">
        <v>19</v>
      </c>
      <c r="D328" s="63" t="e">
        <f>NA()</f>
        <v>#N/A</v>
      </c>
      <c r="E328" s="63" t="e">
        <f>NA()</f>
        <v>#N/A</v>
      </c>
      <c r="F328" s="63">
        <f>-capex_ship1*10^6+$F240</f>
        <v>0</v>
      </c>
      <c r="G328" s="63">
        <f>-capex_ship1*10^6+$F240+NPV(dr_hi_ship1,$G240:G240)</f>
        <v>0</v>
      </c>
      <c r="H328" s="63">
        <f>-capex_ship1*10^6+$F240+NPV(dr_hi_ship1,$G240:H240)</f>
        <v>0</v>
      </c>
      <c r="I328" s="63">
        <f>-capex_ship1*10^6+$F240+NPV(dr_hi_ship1,$G240:I240)</f>
        <v>0</v>
      </c>
      <c r="J328" s="63">
        <f>-capex_ship1*10^6+$F240+NPV(dr_hi_ship1,$G240:J240)</f>
        <v>0</v>
      </c>
      <c r="K328" s="63">
        <f>-capex_ship1*10^6+$F240+NPV(dr_hi_ship1,$G240:K240)</f>
        <v>0</v>
      </c>
      <c r="L328" s="63">
        <f>-capex_ship1*10^6+$F240+NPV(dr_hi_ship1,$G240:L240)</f>
        <v>0</v>
      </c>
      <c r="M328" s="63">
        <f>-capex_ship1*10^6+$F240+NPV(dr_hi_ship1,$G240:M240)</f>
        <v>0</v>
      </c>
      <c r="N328" s="63">
        <f>-capex_ship1*10^6+$F240+NPV(dr_hi_ship1,$G240:N240)</f>
        <v>0</v>
      </c>
      <c r="O328" s="63">
        <f>-capex_ship1*10^6+$F240+NPV(dr_hi_ship1,$G240:O240)</f>
        <v>0</v>
      </c>
      <c r="P328" s="63">
        <f>-capex_ship1*10^6+$F240+NPV(dr_hi_ship1,$G240:P240)</f>
        <v>0</v>
      </c>
      <c r="Q328" s="63">
        <f>-capex_ship1*10^6+$F240+NPV(dr_hi_ship1,$G240:Q240)</f>
        <v>0</v>
      </c>
      <c r="R328" s="63">
        <f>-capex_ship1*10^6+$F240+NPV(dr_hi_ship1,$G240:R240)</f>
        <v>0</v>
      </c>
      <c r="S328" s="63">
        <f>-capex_ship1*10^6+$F240+NPV(dr_hi_ship1,$G240:S240)</f>
        <v>0</v>
      </c>
      <c r="T328" s="63">
        <f>-capex_ship1*10^6+$F240+NPV(dr_hi_ship1,$G240:T240)</f>
        <v>0</v>
      </c>
      <c r="U328" s="63">
        <f>-capex_ship1*10^6+$F240+NPV(dr_hi_ship1,$G240:U240)</f>
        <v>0</v>
      </c>
      <c r="V328" s="63">
        <f>-capex_ship1*10^6+$F240+NPV(dr_hi_ship1,$G240:V240)</f>
        <v>0</v>
      </c>
      <c r="W328" s="63">
        <f>-capex_ship1*10^6+$F240+NPV(dr_hi_ship1,$G240:W240)</f>
        <v>0</v>
      </c>
      <c r="X328" s="63">
        <f>-capex_ship1*10^6+$F240+NPV(dr_hi_ship1,$G240:X240)</f>
        <v>0</v>
      </c>
      <c r="Y328" s="63">
        <f>-capex_ship1*10^6+$F240+NPV(dr_hi_ship1,$G240:Y240)</f>
        <v>0</v>
      </c>
      <c r="Z328" s="63">
        <f>-capex_ship1*10^6+$F240+NPV(dr_hi_ship1,$G240:Z240)</f>
        <v>0</v>
      </c>
      <c r="AF328" s="108"/>
    </row>
    <row r="329" spans="1:32" x14ac:dyDescent="0.2">
      <c r="A329" s="248"/>
      <c r="B329" s="248">
        <f>ship2</f>
        <v>0</v>
      </c>
      <c r="C329" s="30" t="s">
        <v>17</v>
      </c>
      <c r="D329" s="56" t="e">
        <f>NA()</f>
        <v>#N/A</v>
      </c>
      <c r="E329" s="56" t="e">
        <f>NA()</f>
        <v>#N/A</v>
      </c>
      <c r="F329" s="56">
        <f>-capex_ship2*10^6+$F241</f>
        <v>0</v>
      </c>
      <c r="G329" s="56">
        <f>-capex_ship2*10^6+$F241+NPV(dr_lo_ship2,$G241:G241)</f>
        <v>0</v>
      </c>
      <c r="H329" s="56">
        <f>-capex_ship2*10^6+$F241+NPV(dr_lo_ship2,$G241:H241)</f>
        <v>0</v>
      </c>
      <c r="I329" s="56">
        <f>-capex_ship2*10^6+$F241+NPV(dr_lo_ship2,$G241:I241)</f>
        <v>0</v>
      </c>
      <c r="J329" s="56">
        <f>-capex_ship2*10^6+$F241+NPV(dr_lo_ship2,$G241:J241)</f>
        <v>0</v>
      </c>
      <c r="K329" s="56">
        <f>-capex_ship2*10^6+$F241+NPV(dr_lo_ship2,$G241:K241)</f>
        <v>0</v>
      </c>
      <c r="L329" s="56">
        <f>-capex_ship2*10^6+$F241+NPV(dr_lo_ship2,$G241:L241)</f>
        <v>0</v>
      </c>
      <c r="M329" s="56">
        <f>-capex_ship2*10^6+$F241+NPV(dr_lo_ship2,$G241:M241)</f>
        <v>0</v>
      </c>
      <c r="N329" s="56">
        <f>-capex_ship2*10^6+$F241+NPV(dr_lo_ship2,$G241:N241)</f>
        <v>0</v>
      </c>
      <c r="O329" s="56">
        <f>-capex_ship2*10^6+$F241+NPV(dr_lo_ship2,$G241:O241)</f>
        <v>0</v>
      </c>
      <c r="P329" s="56">
        <f>-capex_ship2*10^6+$F241+NPV(dr_lo_ship2,$G241:P241)</f>
        <v>0</v>
      </c>
      <c r="Q329" s="56">
        <f>-capex_ship2*10^6+$F241+NPV(dr_lo_ship2,$G241:Q241)</f>
        <v>0</v>
      </c>
      <c r="R329" s="56">
        <f>-capex_ship2*10^6+$F241+NPV(dr_lo_ship2,$G241:R241)</f>
        <v>0</v>
      </c>
      <c r="S329" s="56">
        <f>-capex_ship2*10^6+$F241+NPV(dr_lo_ship2,$G241:S241)</f>
        <v>0</v>
      </c>
      <c r="T329" s="56">
        <f>-capex_ship2*10^6+$F241+NPV(dr_lo_ship2,$G241:T241)</f>
        <v>0</v>
      </c>
      <c r="U329" s="56">
        <f>-capex_ship2*10^6+$F241+NPV(dr_lo_ship2,$G241:U241)</f>
        <v>0</v>
      </c>
      <c r="V329" s="56">
        <f>-capex_ship2*10^6+$F241+NPV(dr_lo_ship2,$G241:V241)</f>
        <v>0</v>
      </c>
      <c r="W329" s="56">
        <f>-capex_ship2*10^6+$F241+NPV(dr_lo_ship2,$G241:W241)</f>
        <v>0</v>
      </c>
      <c r="X329" s="56">
        <f>-capex_ship2*10^6+$F241+NPV(dr_lo_ship2,$G241:X241)</f>
        <v>0</v>
      </c>
      <c r="Y329" s="56">
        <f>-capex_ship2*10^6+$F241+NPV(dr_lo_ship2,$G241:Y241)</f>
        <v>0</v>
      </c>
      <c r="Z329" s="56">
        <f>-capex_ship2*10^6+$F241+NPV(dr_lo_ship2,$G241:Z241)</f>
        <v>0</v>
      </c>
    </row>
    <row r="330" spans="1:32" x14ac:dyDescent="0.2">
      <c r="A330" s="248"/>
      <c r="B330" s="248"/>
      <c r="C330" s="30" t="s">
        <v>18</v>
      </c>
      <c r="D330" s="60" t="e">
        <f>NA()</f>
        <v>#N/A</v>
      </c>
      <c r="E330" s="60" t="e">
        <f>NA()</f>
        <v>#N/A</v>
      </c>
      <c r="F330" s="60">
        <f>-capex_ship2*10^6+$F242</f>
        <v>0</v>
      </c>
      <c r="G330" s="60">
        <f>-capex_ship2*10^6+$F242+NPV(dr_med_ship2,$G242:G242)</f>
        <v>0</v>
      </c>
      <c r="H330" s="60">
        <f>-capex_ship2*10^6+$F242+NPV(dr_med_ship2,$G242:H242)</f>
        <v>0</v>
      </c>
      <c r="I330" s="60">
        <f>-capex_ship2*10^6+$F242+NPV(dr_med_ship2,$G242:I242)</f>
        <v>0</v>
      </c>
      <c r="J330" s="60">
        <f>-capex_ship2*10^6+$F242+NPV(dr_med_ship2,$G242:J242)</f>
        <v>0</v>
      </c>
      <c r="K330" s="60">
        <f>-capex_ship2*10^6+$F242+NPV(dr_med_ship2,$G242:K242)</f>
        <v>0</v>
      </c>
      <c r="L330" s="60">
        <f>-capex_ship2*10^6+$F242+NPV(dr_med_ship2,$G242:L242)</f>
        <v>0</v>
      </c>
      <c r="M330" s="60">
        <f>-capex_ship2*10^6+$F242+NPV(dr_med_ship2,$G242:M242)</f>
        <v>0</v>
      </c>
      <c r="N330" s="60">
        <f>-capex_ship2*10^6+$F242+NPV(dr_med_ship2,$G242:N242)</f>
        <v>0</v>
      </c>
      <c r="O330" s="60">
        <f>-capex_ship2*10^6+$F242+NPV(dr_med_ship2,$G242:O242)</f>
        <v>0</v>
      </c>
      <c r="P330" s="60">
        <f>-capex_ship2*10^6+$F242+NPV(dr_med_ship2,$G242:P242)</f>
        <v>0</v>
      </c>
      <c r="Q330" s="60">
        <f>-capex_ship2*10^6+$F242+NPV(dr_med_ship2,$G242:Q242)</f>
        <v>0</v>
      </c>
      <c r="R330" s="60">
        <f>-capex_ship2*10^6+$F242+NPV(dr_med_ship2,$G242:R242)</f>
        <v>0</v>
      </c>
      <c r="S330" s="60">
        <f>-capex_ship2*10^6+$F242+NPV(dr_med_ship2,$G242:S242)</f>
        <v>0</v>
      </c>
      <c r="T330" s="60">
        <f>-capex_ship2*10^6+$F242+NPV(dr_med_ship2,$G242:T242)</f>
        <v>0</v>
      </c>
      <c r="U330" s="60">
        <f>-capex_ship2*10^6+$F242+NPV(dr_med_ship2,$G242:U242)</f>
        <v>0</v>
      </c>
      <c r="V330" s="60">
        <f>-capex_ship2*10^6+$F242+NPV(dr_med_ship2,$G242:V242)</f>
        <v>0</v>
      </c>
      <c r="W330" s="60">
        <f>-capex_ship2*10^6+$F242+NPV(dr_med_ship2,$G242:W242)</f>
        <v>0</v>
      </c>
      <c r="X330" s="60">
        <f>-capex_ship2*10^6+$F242+NPV(dr_med_ship2,$G242:X242)</f>
        <v>0</v>
      </c>
      <c r="Y330" s="60">
        <f>-capex_ship2*10^6+$F242+NPV(dr_med_ship2,$G242:Y242)</f>
        <v>0</v>
      </c>
      <c r="Z330" s="60">
        <f>-capex_ship2*10^6+$F242+NPV(dr_med_ship2,$G242:Z242)</f>
        <v>0</v>
      </c>
    </row>
    <row r="331" spans="1:32" x14ac:dyDescent="0.2">
      <c r="A331" s="248"/>
      <c r="B331" s="248"/>
      <c r="C331" s="30" t="s">
        <v>19</v>
      </c>
      <c r="D331" s="63" t="e">
        <f>NA()</f>
        <v>#N/A</v>
      </c>
      <c r="E331" s="63" t="e">
        <f>NA()</f>
        <v>#N/A</v>
      </c>
      <c r="F331" s="63">
        <f>-capex_ship2*10^6+$F243</f>
        <v>0</v>
      </c>
      <c r="G331" s="63">
        <f>-capex_ship2*10^6+$F243+NPV(dr_hi_ship2,$G243:G243)</f>
        <v>0</v>
      </c>
      <c r="H331" s="63">
        <f>-capex_ship2*10^6+$F243+NPV(dr_hi_ship2,$G243:H243)</f>
        <v>0</v>
      </c>
      <c r="I331" s="63">
        <f>-capex_ship2*10^6+$F243+NPV(dr_hi_ship2,$G243:I243)</f>
        <v>0</v>
      </c>
      <c r="J331" s="63">
        <f>-capex_ship2*10^6+$F243+NPV(dr_hi_ship2,$G243:J243)</f>
        <v>0</v>
      </c>
      <c r="K331" s="63">
        <f>-capex_ship2*10^6+$F243+NPV(dr_hi_ship2,$G243:K243)</f>
        <v>0</v>
      </c>
      <c r="L331" s="63">
        <f>-capex_ship2*10^6+$F243+NPV(dr_hi_ship2,$G243:L243)</f>
        <v>0</v>
      </c>
      <c r="M331" s="63">
        <f>-capex_ship2*10^6+$F243+NPV(dr_hi_ship2,$G243:M243)</f>
        <v>0</v>
      </c>
      <c r="N331" s="63">
        <f>-capex_ship2*10^6+$F243+NPV(dr_hi_ship2,$G243:N243)</f>
        <v>0</v>
      </c>
      <c r="O331" s="63">
        <f>-capex_ship2*10^6+$F243+NPV(dr_hi_ship2,$G243:O243)</f>
        <v>0</v>
      </c>
      <c r="P331" s="63">
        <f>-capex_ship2*10^6+$F243+NPV(dr_hi_ship2,$G243:P243)</f>
        <v>0</v>
      </c>
      <c r="Q331" s="63">
        <f>-capex_ship2*10^6+$F243+NPV(dr_hi_ship2,$G243:Q243)</f>
        <v>0</v>
      </c>
      <c r="R331" s="63">
        <f>-capex_ship2*10^6+$F243+NPV(dr_hi_ship2,$G243:R243)</f>
        <v>0</v>
      </c>
      <c r="S331" s="63">
        <f>-capex_ship2*10^6+$F243+NPV(dr_hi_ship2,$G243:S243)</f>
        <v>0</v>
      </c>
      <c r="T331" s="63">
        <f>-capex_ship2*10^6+$F243+NPV(dr_hi_ship2,$G243:T243)</f>
        <v>0</v>
      </c>
      <c r="U331" s="63">
        <f>-capex_ship2*10^6+$F243+NPV(dr_hi_ship2,$G243:U243)</f>
        <v>0</v>
      </c>
      <c r="V331" s="63">
        <f>-capex_ship2*10^6+$F243+NPV(dr_hi_ship2,$G243:V243)</f>
        <v>0</v>
      </c>
      <c r="W331" s="63">
        <f>-capex_ship2*10^6+$F243+NPV(dr_hi_ship2,$G243:W243)</f>
        <v>0</v>
      </c>
      <c r="X331" s="63">
        <f>-capex_ship2*10^6+$F243+NPV(dr_hi_ship2,$G243:X243)</f>
        <v>0</v>
      </c>
      <c r="Y331" s="63">
        <f>-capex_ship2*10^6+$F243+NPV(dr_hi_ship2,$G243:Y243)</f>
        <v>0</v>
      </c>
      <c r="Z331" s="63">
        <f>-capex_ship2*10^6+$F243+NPV(dr_hi_ship2,$G243:Z243)</f>
        <v>0</v>
      </c>
    </row>
    <row r="332" spans="1:32" x14ac:dyDescent="0.2">
      <c r="A332" s="248"/>
      <c r="B332" s="248">
        <f>ship3</f>
        <v>0</v>
      </c>
      <c r="C332" s="30" t="s">
        <v>17</v>
      </c>
      <c r="D332" s="56" t="e">
        <f>NA()</f>
        <v>#N/A</v>
      </c>
      <c r="E332" s="56" t="e">
        <f>NA()</f>
        <v>#N/A</v>
      </c>
      <c r="F332" s="56">
        <f>-capex_ship3*10^6+$F244</f>
        <v>0</v>
      </c>
      <c r="G332" s="56">
        <f>-capex_ship3*10^6+$F244+NPV(dr_lo_ship3,$G244:G244)</f>
        <v>0</v>
      </c>
      <c r="H332" s="56">
        <f>-capex_ship3*10^6+$F244+NPV(dr_lo_ship3,$G244:H244)</f>
        <v>0</v>
      </c>
      <c r="I332" s="56">
        <f>-capex_ship3*10^6+$F244+NPV(dr_lo_ship3,$G244:I244)</f>
        <v>0</v>
      </c>
      <c r="J332" s="56">
        <f>-capex_ship3*10^6+$F244+NPV(dr_lo_ship3,$G244:J244)</f>
        <v>0</v>
      </c>
      <c r="K332" s="56">
        <f>-capex_ship3*10^6+$F244+NPV(dr_lo_ship3,$G244:K244)</f>
        <v>0</v>
      </c>
      <c r="L332" s="56">
        <f>-capex_ship3*10^6+$F244+NPV(dr_lo_ship3,$G244:L244)</f>
        <v>0</v>
      </c>
      <c r="M332" s="56">
        <f>-capex_ship3*10^6+$F244+NPV(dr_lo_ship3,$G244:M244)</f>
        <v>0</v>
      </c>
      <c r="N332" s="56">
        <f>-capex_ship3*10^6+$F244+NPV(dr_lo_ship3,$G244:N244)</f>
        <v>0</v>
      </c>
      <c r="O332" s="56">
        <f>-capex_ship3*10^6+$F244+NPV(dr_lo_ship3,$G244:O244)</f>
        <v>0</v>
      </c>
      <c r="P332" s="56">
        <f>-capex_ship3*10^6+$F244+NPV(dr_lo_ship3,$G244:P244)</f>
        <v>0</v>
      </c>
      <c r="Q332" s="56">
        <f>-capex_ship3*10^6+$F244+NPV(dr_lo_ship3,$G244:Q244)</f>
        <v>0</v>
      </c>
      <c r="R332" s="56">
        <f>-capex_ship3*10^6+$F244+NPV(dr_lo_ship3,$G244:R244)</f>
        <v>0</v>
      </c>
      <c r="S332" s="56">
        <f>-capex_ship3*10^6+$F244+NPV(dr_lo_ship3,$G244:S244)</f>
        <v>0</v>
      </c>
      <c r="T332" s="56">
        <f>-capex_ship3*10^6+$F244+NPV(dr_lo_ship3,$G244:T244)</f>
        <v>0</v>
      </c>
      <c r="U332" s="56">
        <f>-capex_ship3*10^6+$F244+NPV(dr_lo_ship3,$G244:U244)</f>
        <v>0</v>
      </c>
      <c r="V332" s="56">
        <f>-capex_ship3*10^6+$F244+NPV(dr_lo_ship3,$G244:V244)</f>
        <v>0</v>
      </c>
      <c r="W332" s="56">
        <f>-capex_ship3*10^6+$F244+NPV(dr_lo_ship3,$G244:W244)</f>
        <v>0</v>
      </c>
      <c r="X332" s="56">
        <f>-capex_ship3*10^6+$F244+NPV(dr_lo_ship3,$G244:X244)</f>
        <v>0</v>
      </c>
      <c r="Y332" s="56">
        <f>-capex_ship3*10^6+$F244+NPV(dr_lo_ship3,$G244:Y244)</f>
        <v>0</v>
      </c>
      <c r="Z332" s="56">
        <f>-capex_ship3*10^6+$F244+NPV(dr_lo_ship3,$G244:Z244)</f>
        <v>0</v>
      </c>
    </row>
    <row r="333" spans="1:32" x14ac:dyDescent="0.2">
      <c r="A333" s="248"/>
      <c r="B333" s="248"/>
      <c r="C333" s="30" t="s">
        <v>18</v>
      </c>
      <c r="D333" s="60" t="e">
        <f>NA()</f>
        <v>#N/A</v>
      </c>
      <c r="E333" s="60" t="e">
        <f>NA()</f>
        <v>#N/A</v>
      </c>
      <c r="F333" s="60">
        <f>-capex_ship3*10^6+$F245</f>
        <v>0</v>
      </c>
      <c r="G333" s="60">
        <f>-capex_ship3*10^6+$F245+NPV(dr_med_ship3,$G245:G245)</f>
        <v>0</v>
      </c>
      <c r="H333" s="60">
        <f>-capex_ship3*10^6+$F245+NPV(dr_med_ship3,$G245:H245)</f>
        <v>0</v>
      </c>
      <c r="I333" s="60">
        <f>-capex_ship3*10^6+$F245+NPV(dr_med_ship3,$G245:I245)</f>
        <v>0</v>
      </c>
      <c r="J333" s="60">
        <f>-capex_ship3*10^6+$F245+NPV(dr_med_ship3,$G245:J245)</f>
        <v>0</v>
      </c>
      <c r="K333" s="60">
        <f>-capex_ship3*10^6+$F245+NPV(dr_med_ship3,$G245:K245)</f>
        <v>0</v>
      </c>
      <c r="L333" s="60">
        <f>-capex_ship3*10^6+$F245+NPV(dr_med_ship3,$G245:L245)</f>
        <v>0</v>
      </c>
      <c r="M333" s="60">
        <f>-capex_ship3*10^6+$F245+NPV(dr_med_ship3,$G245:M245)</f>
        <v>0</v>
      </c>
      <c r="N333" s="60">
        <f>-capex_ship3*10^6+$F245+NPV(dr_med_ship3,$G245:N245)</f>
        <v>0</v>
      </c>
      <c r="O333" s="60">
        <f>-capex_ship3*10^6+$F245+NPV(dr_med_ship3,$G245:O245)</f>
        <v>0</v>
      </c>
      <c r="P333" s="60">
        <f>-capex_ship3*10^6+$F245+NPV(dr_med_ship3,$G245:P245)</f>
        <v>0</v>
      </c>
      <c r="Q333" s="60">
        <f>-capex_ship3*10^6+$F245+NPV(dr_med_ship3,$G245:Q245)</f>
        <v>0</v>
      </c>
      <c r="R333" s="60">
        <f>-capex_ship3*10^6+$F245+NPV(dr_med_ship3,$G245:R245)</f>
        <v>0</v>
      </c>
      <c r="S333" s="60">
        <f>-capex_ship3*10^6+$F245+NPV(dr_med_ship3,$G245:S245)</f>
        <v>0</v>
      </c>
      <c r="T333" s="60">
        <f>-capex_ship3*10^6+$F245+NPV(dr_med_ship3,$G245:T245)</f>
        <v>0</v>
      </c>
      <c r="U333" s="60">
        <f>-capex_ship3*10^6+$F245+NPV(dr_med_ship3,$G245:U245)</f>
        <v>0</v>
      </c>
      <c r="V333" s="60">
        <f>-capex_ship3*10^6+$F245+NPV(dr_med_ship3,$G245:V245)</f>
        <v>0</v>
      </c>
      <c r="W333" s="60">
        <f>-capex_ship3*10^6+$F245+NPV(dr_med_ship3,$G245:W245)</f>
        <v>0</v>
      </c>
      <c r="X333" s="60">
        <f>-capex_ship3*10^6+$F245+NPV(dr_med_ship3,$G245:X245)</f>
        <v>0</v>
      </c>
      <c r="Y333" s="60">
        <f>-capex_ship3*10^6+$F245+NPV(dr_med_ship3,$G245:Y245)</f>
        <v>0</v>
      </c>
      <c r="Z333" s="60">
        <f>-capex_ship3*10^6+$F245+NPV(dr_med_ship3,$G245:Z245)</f>
        <v>0</v>
      </c>
    </row>
    <row r="334" spans="1:32" x14ac:dyDescent="0.2">
      <c r="A334" s="248"/>
      <c r="B334" s="248"/>
      <c r="C334" s="30" t="s">
        <v>19</v>
      </c>
      <c r="D334" s="63" t="e">
        <f>NA()</f>
        <v>#N/A</v>
      </c>
      <c r="E334" s="63" t="e">
        <f>NA()</f>
        <v>#N/A</v>
      </c>
      <c r="F334" s="63">
        <f>-capex_ship3*10^6+$F246</f>
        <v>0</v>
      </c>
      <c r="G334" s="63">
        <f>-capex_ship3*10^6+$F246+NPV(dr_hi_ship3,$G246:G246)</f>
        <v>0</v>
      </c>
      <c r="H334" s="63">
        <f>-capex_ship3*10^6+$F246+NPV(dr_hi_ship3,$G246:H246)</f>
        <v>0</v>
      </c>
      <c r="I334" s="63">
        <f>-capex_ship3*10^6+$F246+NPV(dr_hi_ship3,$G246:I246)</f>
        <v>0</v>
      </c>
      <c r="J334" s="63">
        <f>-capex_ship3*10^6+$F246+NPV(dr_hi_ship3,$G246:J246)</f>
        <v>0</v>
      </c>
      <c r="K334" s="63">
        <f>-capex_ship3*10^6+$F246+NPV(dr_hi_ship3,$G246:K246)</f>
        <v>0</v>
      </c>
      <c r="L334" s="63">
        <f>-capex_ship3*10^6+$F246+NPV(dr_hi_ship3,$G246:L246)</f>
        <v>0</v>
      </c>
      <c r="M334" s="63">
        <f>-capex_ship3*10^6+$F246+NPV(dr_hi_ship3,$G246:M246)</f>
        <v>0</v>
      </c>
      <c r="N334" s="63">
        <f>-capex_ship3*10^6+$F246+NPV(dr_hi_ship3,$G246:N246)</f>
        <v>0</v>
      </c>
      <c r="O334" s="63">
        <f>-capex_ship3*10^6+$F246+NPV(dr_hi_ship3,$G246:O246)</f>
        <v>0</v>
      </c>
      <c r="P334" s="63">
        <f>-capex_ship3*10^6+$F246+NPV(dr_hi_ship3,$G246:P246)</f>
        <v>0</v>
      </c>
      <c r="Q334" s="63">
        <f>-capex_ship3*10^6+$F246+NPV(dr_hi_ship3,$G246:Q246)</f>
        <v>0</v>
      </c>
      <c r="R334" s="63">
        <f>-capex_ship3*10^6+$F246+NPV(dr_hi_ship3,$G246:R246)</f>
        <v>0</v>
      </c>
      <c r="S334" s="63">
        <f>-capex_ship3*10^6+$F246+NPV(dr_hi_ship3,$G246:S246)</f>
        <v>0</v>
      </c>
      <c r="T334" s="63">
        <f>-capex_ship3*10^6+$F246+NPV(dr_hi_ship3,$G246:T246)</f>
        <v>0</v>
      </c>
      <c r="U334" s="63">
        <f>-capex_ship3*10^6+$F246+NPV(dr_hi_ship3,$G246:U246)</f>
        <v>0</v>
      </c>
      <c r="V334" s="63">
        <f>-capex_ship3*10^6+$F246+NPV(dr_hi_ship3,$G246:V246)</f>
        <v>0</v>
      </c>
      <c r="W334" s="63">
        <f>-capex_ship3*10^6+$F246+NPV(dr_hi_ship3,$G246:W246)</f>
        <v>0</v>
      </c>
      <c r="X334" s="63">
        <f>-capex_ship3*10^6+$F246+NPV(dr_hi_ship3,$G246:X246)</f>
        <v>0</v>
      </c>
      <c r="Y334" s="63">
        <f>-capex_ship3*10^6+$F246+NPV(dr_hi_ship3,$G246:Y246)</f>
        <v>0</v>
      </c>
      <c r="Z334" s="63">
        <f>-capex_ship3*10^6+$F246+NPV(dr_hi_ship3,$G246:Z246)</f>
        <v>0</v>
      </c>
    </row>
    <row r="335" spans="1:32" x14ac:dyDescent="0.2">
      <c r="A335" s="248"/>
      <c r="B335" s="248">
        <f>ship4</f>
        <v>0</v>
      </c>
      <c r="C335" s="30" t="s">
        <v>17</v>
      </c>
      <c r="D335" s="56" t="e">
        <f>NA()</f>
        <v>#N/A</v>
      </c>
      <c r="E335" s="56" t="e">
        <f>NA()</f>
        <v>#N/A</v>
      </c>
      <c r="F335" s="56">
        <f>-capex_ship4*10^6+$F247</f>
        <v>0</v>
      </c>
      <c r="G335" s="56">
        <f>-capex_ship4*10^6+$F247+NPV(dr_lo_ship4,$G247:G247)</f>
        <v>0</v>
      </c>
      <c r="H335" s="56">
        <f>-capex_ship4*10^6+$F247+NPV(dr_lo_ship4,$G247:H247)</f>
        <v>0</v>
      </c>
      <c r="I335" s="56">
        <f>-capex_ship4*10^6+$F247+NPV(dr_lo_ship4,$G247:I247)</f>
        <v>0</v>
      </c>
      <c r="J335" s="56">
        <f>-capex_ship4*10^6+$F247+NPV(dr_lo_ship4,$G247:J247)</f>
        <v>0</v>
      </c>
      <c r="K335" s="56">
        <f>-capex_ship4*10^6+$F247+NPV(dr_lo_ship4,$G247:K247)</f>
        <v>0</v>
      </c>
      <c r="L335" s="56">
        <f>-capex_ship4*10^6+$F247+NPV(dr_lo_ship4,$G247:L247)</f>
        <v>0</v>
      </c>
      <c r="M335" s="56">
        <f>-capex_ship4*10^6+$F247+NPV(dr_lo_ship4,$G247:M247)</f>
        <v>0</v>
      </c>
      <c r="N335" s="56">
        <f>-capex_ship4*10^6+$F247+NPV(dr_lo_ship4,$G247:N247)</f>
        <v>0</v>
      </c>
      <c r="O335" s="56">
        <f>-capex_ship4*10^6+$F247+NPV(dr_lo_ship4,$G247:O247)</f>
        <v>0</v>
      </c>
      <c r="P335" s="56">
        <f>-capex_ship4*10^6+$F247+NPV(dr_lo_ship4,$G247:P247)</f>
        <v>0</v>
      </c>
      <c r="Q335" s="56">
        <f>-capex_ship4*10^6+$F247+NPV(dr_lo_ship4,$G247:Q247)</f>
        <v>0</v>
      </c>
      <c r="R335" s="56">
        <f>-capex_ship4*10^6+$F247+NPV(dr_lo_ship4,$G247:R247)</f>
        <v>0</v>
      </c>
      <c r="S335" s="56">
        <f>-capex_ship4*10^6+$F247+NPV(dr_lo_ship4,$G247:S247)</f>
        <v>0</v>
      </c>
      <c r="T335" s="56">
        <f>-capex_ship4*10^6+$F247+NPV(dr_lo_ship4,$G247:T247)</f>
        <v>0</v>
      </c>
      <c r="U335" s="56">
        <f>-capex_ship4*10^6+$F247+NPV(dr_lo_ship4,$G247:U247)</f>
        <v>0</v>
      </c>
      <c r="V335" s="56">
        <f>-capex_ship4*10^6+$F247+NPV(dr_lo_ship4,$G247:V247)</f>
        <v>0</v>
      </c>
      <c r="W335" s="56">
        <f>-capex_ship4*10^6+$F247+NPV(dr_lo_ship4,$G247:W247)</f>
        <v>0</v>
      </c>
      <c r="X335" s="56">
        <f>-capex_ship4*10^6+$F247+NPV(dr_lo_ship4,$G247:X247)</f>
        <v>0</v>
      </c>
      <c r="Y335" s="56">
        <f>-capex_ship4*10^6+$F247+NPV(dr_lo_ship4,$G247:Y247)</f>
        <v>0</v>
      </c>
      <c r="Z335" s="56">
        <f>-capex_ship4*10^6+$F247+NPV(dr_lo_ship4,$G247:Z247)</f>
        <v>0</v>
      </c>
    </row>
    <row r="336" spans="1:32" x14ac:dyDescent="0.2">
      <c r="A336" s="248"/>
      <c r="B336" s="248"/>
      <c r="C336" s="30" t="s">
        <v>18</v>
      </c>
      <c r="D336" s="60" t="e">
        <f>NA()</f>
        <v>#N/A</v>
      </c>
      <c r="E336" s="60" t="e">
        <f>NA()</f>
        <v>#N/A</v>
      </c>
      <c r="F336" s="60">
        <f>-capex_ship4*10^6+$F248</f>
        <v>0</v>
      </c>
      <c r="G336" s="60">
        <f>-capex_ship4*10^6+$F248+NPV(dr_med_ship4,$G248:G248)</f>
        <v>0</v>
      </c>
      <c r="H336" s="60">
        <f>-capex_ship4*10^6+$F248+NPV(dr_med_ship4,$G248:H248)</f>
        <v>0</v>
      </c>
      <c r="I336" s="60">
        <f>-capex_ship4*10^6+$F248+NPV(dr_med_ship4,$G248:I248)</f>
        <v>0</v>
      </c>
      <c r="J336" s="60">
        <f>-capex_ship4*10^6+$F248+NPV(dr_med_ship4,$G248:J248)</f>
        <v>0</v>
      </c>
      <c r="K336" s="60">
        <f>-capex_ship4*10^6+$F248+NPV(dr_med_ship4,$G248:K248)</f>
        <v>0</v>
      </c>
      <c r="L336" s="60">
        <f>-capex_ship4*10^6+$F248+NPV(dr_med_ship4,$G248:L248)</f>
        <v>0</v>
      </c>
      <c r="M336" s="60">
        <f>-capex_ship4*10^6+$F248+NPV(dr_med_ship4,$G248:M248)</f>
        <v>0</v>
      </c>
      <c r="N336" s="60">
        <f>-capex_ship4*10^6+$F248+NPV(dr_med_ship4,$G248:N248)</f>
        <v>0</v>
      </c>
      <c r="O336" s="60">
        <f>-capex_ship4*10^6+$F248+NPV(dr_med_ship4,$G248:O248)</f>
        <v>0</v>
      </c>
      <c r="P336" s="60">
        <f>-capex_ship4*10^6+$F248+NPV(dr_med_ship4,$G248:P248)</f>
        <v>0</v>
      </c>
      <c r="Q336" s="60">
        <f>-capex_ship4*10^6+$F248+NPV(dr_med_ship4,$G248:Q248)</f>
        <v>0</v>
      </c>
      <c r="R336" s="60">
        <f>-capex_ship4*10^6+$F248+NPV(dr_med_ship4,$G248:R248)</f>
        <v>0</v>
      </c>
      <c r="S336" s="60">
        <f>-capex_ship4*10^6+$F248+NPV(dr_med_ship4,$G248:S248)</f>
        <v>0</v>
      </c>
      <c r="T336" s="60">
        <f>-capex_ship4*10^6+$F248+NPV(dr_med_ship4,$G248:T248)</f>
        <v>0</v>
      </c>
      <c r="U336" s="60">
        <f>-capex_ship4*10^6+$F248+NPV(dr_med_ship4,$G248:U248)</f>
        <v>0</v>
      </c>
      <c r="V336" s="60">
        <f>-capex_ship4*10^6+$F248+NPV(dr_med_ship4,$G248:V248)</f>
        <v>0</v>
      </c>
      <c r="W336" s="60">
        <f>-capex_ship4*10^6+$F248+NPV(dr_med_ship4,$G248:W248)</f>
        <v>0</v>
      </c>
      <c r="X336" s="60">
        <f>-capex_ship4*10^6+$F248+NPV(dr_med_ship4,$G248:X248)</f>
        <v>0</v>
      </c>
      <c r="Y336" s="60">
        <f>-capex_ship4*10^6+$F248+NPV(dr_med_ship4,$G248:Y248)</f>
        <v>0</v>
      </c>
      <c r="Z336" s="60">
        <f>-capex_ship4*10^6+$F248+NPV(dr_med_ship4,$G248:Z248)</f>
        <v>0</v>
      </c>
    </row>
    <row r="337" spans="1:32" x14ac:dyDescent="0.2">
      <c r="A337" s="248"/>
      <c r="B337" s="248"/>
      <c r="C337" s="30" t="s">
        <v>19</v>
      </c>
      <c r="D337" s="63" t="e">
        <f>NA()</f>
        <v>#N/A</v>
      </c>
      <c r="E337" s="63" t="e">
        <f>NA()</f>
        <v>#N/A</v>
      </c>
      <c r="F337" s="63">
        <f>-capex_ship4*10^6+$F249</f>
        <v>0</v>
      </c>
      <c r="G337" s="63">
        <f>-capex_ship4*10^6+$F249+NPV(dr_hi_ship4,$G249:G249)</f>
        <v>0</v>
      </c>
      <c r="H337" s="63">
        <f>-capex_ship4*10^6+$F249+NPV(dr_hi_ship4,$G249:H249)</f>
        <v>0</v>
      </c>
      <c r="I337" s="63">
        <f>-capex_ship4*10^6+$F249+NPV(dr_hi_ship4,$G249:I249)</f>
        <v>0</v>
      </c>
      <c r="J337" s="63">
        <f>-capex_ship4*10^6+$F249+NPV(dr_hi_ship4,$G249:J249)</f>
        <v>0</v>
      </c>
      <c r="K337" s="63">
        <f>-capex_ship4*10^6+$F249+NPV(dr_hi_ship4,$G249:K249)</f>
        <v>0</v>
      </c>
      <c r="L337" s="63">
        <f>-capex_ship4*10^6+$F249+NPV(dr_hi_ship4,$G249:L249)</f>
        <v>0</v>
      </c>
      <c r="M337" s="63">
        <f>-capex_ship4*10^6+$F249+NPV(dr_hi_ship4,$G249:M249)</f>
        <v>0</v>
      </c>
      <c r="N337" s="63">
        <f>-capex_ship4*10^6+$F249+NPV(dr_hi_ship4,$G249:N249)</f>
        <v>0</v>
      </c>
      <c r="O337" s="63">
        <f>-capex_ship4*10^6+$F249+NPV(dr_hi_ship4,$G249:O249)</f>
        <v>0</v>
      </c>
      <c r="P337" s="63">
        <f>-capex_ship4*10^6+$F249+NPV(dr_hi_ship4,$G249:P249)</f>
        <v>0</v>
      </c>
      <c r="Q337" s="63">
        <f>-capex_ship4*10^6+$F249+NPV(dr_hi_ship4,$G249:Q249)</f>
        <v>0</v>
      </c>
      <c r="R337" s="63">
        <f>-capex_ship4*10^6+$F249+NPV(dr_hi_ship4,$G249:R249)</f>
        <v>0</v>
      </c>
      <c r="S337" s="63">
        <f>-capex_ship4*10^6+$F249+NPV(dr_hi_ship4,$G249:S249)</f>
        <v>0</v>
      </c>
      <c r="T337" s="63">
        <f>-capex_ship4*10^6+$F249+NPV(dr_hi_ship4,$G249:T249)</f>
        <v>0</v>
      </c>
      <c r="U337" s="63">
        <f>-capex_ship4*10^6+$F249+NPV(dr_hi_ship4,$G249:U249)</f>
        <v>0</v>
      </c>
      <c r="V337" s="63">
        <f>-capex_ship4*10^6+$F249+NPV(dr_hi_ship4,$G249:V249)</f>
        <v>0</v>
      </c>
      <c r="W337" s="63">
        <f>-capex_ship4*10^6+$F249+NPV(dr_hi_ship4,$G249:W249)</f>
        <v>0</v>
      </c>
      <c r="X337" s="63">
        <f>-capex_ship4*10^6+$F249+NPV(dr_hi_ship4,$G249:X249)</f>
        <v>0</v>
      </c>
      <c r="Y337" s="63">
        <f>-capex_ship4*10^6+$F249+NPV(dr_hi_ship4,$G249:Y249)</f>
        <v>0</v>
      </c>
      <c r="Z337" s="63">
        <f>-capex_ship4*10^6+$F249+NPV(dr_hi_ship4,$G249:Z249)</f>
        <v>0</v>
      </c>
    </row>
    <row r="338" spans="1:32" x14ac:dyDescent="0.2">
      <c r="A338" s="248"/>
      <c r="B338" s="248">
        <f>ship5</f>
        <v>0</v>
      </c>
      <c r="C338" s="30" t="s">
        <v>17</v>
      </c>
      <c r="D338" s="56" t="e">
        <f>NA()</f>
        <v>#N/A</v>
      </c>
      <c r="E338" s="56" t="e">
        <f>NA()</f>
        <v>#N/A</v>
      </c>
      <c r="F338" s="56">
        <f>-capex_ship5*10^6+$F250</f>
        <v>0</v>
      </c>
      <c r="G338" s="56">
        <f>-capex_ship5*10^6+$F250+NPV(dr_lo_ship5,$G250:G250)</f>
        <v>0</v>
      </c>
      <c r="H338" s="56">
        <f>-capex_ship5*10^6+$F250+NPV(dr_lo_ship5,$G250:H250)</f>
        <v>0</v>
      </c>
      <c r="I338" s="56">
        <f>-capex_ship5*10^6+$F250+NPV(dr_lo_ship5,$G250:I250)</f>
        <v>0</v>
      </c>
      <c r="J338" s="56">
        <f>-capex_ship5*10^6+$F250+NPV(dr_lo_ship5,$G250:J250)</f>
        <v>0</v>
      </c>
      <c r="K338" s="56">
        <f>-capex_ship5*10^6+$F250+NPV(dr_lo_ship5,$G250:K250)</f>
        <v>0</v>
      </c>
      <c r="L338" s="56">
        <f>-capex_ship5*10^6+$F250+NPV(dr_lo_ship5,$G250:L250)</f>
        <v>0</v>
      </c>
      <c r="M338" s="56">
        <f>-capex_ship5*10^6+$F250+NPV(dr_lo_ship5,$G250:M250)</f>
        <v>0</v>
      </c>
      <c r="N338" s="56">
        <f>-capex_ship5*10^6+$F250+NPV(dr_lo_ship5,$G250:N250)</f>
        <v>0</v>
      </c>
      <c r="O338" s="56">
        <f>-capex_ship5*10^6+$F250+NPV(dr_lo_ship5,$G250:O250)</f>
        <v>0</v>
      </c>
      <c r="P338" s="56">
        <f>-capex_ship5*10^6+$F250+NPV(dr_lo_ship5,$G250:P250)</f>
        <v>0</v>
      </c>
      <c r="Q338" s="56">
        <f>-capex_ship5*10^6+$F250+NPV(dr_lo_ship5,$G250:Q250)</f>
        <v>0</v>
      </c>
      <c r="R338" s="56">
        <f>-capex_ship5*10^6+$F250+NPV(dr_lo_ship5,$G250:R250)</f>
        <v>0</v>
      </c>
      <c r="S338" s="56">
        <f>-capex_ship5*10^6+$F250+NPV(dr_lo_ship5,$G250:S250)</f>
        <v>0</v>
      </c>
      <c r="T338" s="56">
        <f>-capex_ship5*10^6+$F250+NPV(dr_lo_ship5,$G250:T250)</f>
        <v>0</v>
      </c>
      <c r="U338" s="56">
        <f>-capex_ship5*10^6+$F250+NPV(dr_lo_ship5,$G250:U250)</f>
        <v>0</v>
      </c>
      <c r="V338" s="56">
        <f>-capex_ship5*10^6+$F250+NPV(dr_lo_ship5,$G250:V250)</f>
        <v>0</v>
      </c>
      <c r="W338" s="56">
        <f>-capex_ship5*10^6+$F250+NPV(dr_lo_ship5,$G250:W250)</f>
        <v>0</v>
      </c>
      <c r="X338" s="56">
        <f>-capex_ship5*10^6+$F250+NPV(dr_lo_ship5,$G250:X250)</f>
        <v>0</v>
      </c>
      <c r="Y338" s="56">
        <f>-capex_ship5*10^6+$F250+NPV(dr_lo_ship5,$G250:Y250)</f>
        <v>0</v>
      </c>
      <c r="Z338" s="56">
        <f>-capex_ship5*10^6+$F250+NPV(dr_lo_ship5,$G250:Z250)</f>
        <v>0</v>
      </c>
    </row>
    <row r="339" spans="1:32" x14ac:dyDescent="0.2">
      <c r="A339" s="248"/>
      <c r="B339" s="248"/>
      <c r="C339" s="30" t="s">
        <v>18</v>
      </c>
      <c r="D339" s="60" t="e">
        <f>NA()</f>
        <v>#N/A</v>
      </c>
      <c r="E339" s="60" t="e">
        <f>NA()</f>
        <v>#N/A</v>
      </c>
      <c r="F339" s="60">
        <f>-capex_ship5*10^6+$F251</f>
        <v>0</v>
      </c>
      <c r="G339" s="60">
        <f>-capex_ship5*10^6+$F251+NPV(dr_med_ship5,$G251:G251)</f>
        <v>0</v>
      </c>
      <c r="H339" s="60">
        <f>-capex_ship5*10^6+$F251+NPV(dr_med_ship5,$G251:H251)</f>
        <v>0</v>
      </c>
      <c r="I339" s="60">
        <f>-capex_ship5*10^6+$F251+NPV(dr_med_ship5,$G251:I251)</f>
        <v>0</v>
      </c>
      <c r="J339" s="60">
        <f>-capex_ship5*10^6+$F251+NPV(dr_med_ship5,$G251:J251)</f>
        <v>0</v>
      </c>
      <c r="K339" s="60">
        <f>-capex_ship5*10^6+$F251+NPV(dr_med_ship5,$G251:K251)</f>
        <v>0</v>
      </c>
      <c r="L339" s="60">
        <f>-capex_ship5*10^6+$F251+NPV(dr_med_ship5,$G251:L251)</f>
        <v>0</v>
      </c>
      <c r="M339" s="60">
        <f>-capex_ship5*10^6+$F251+NPV(dr_med_ship5,$G251:M251)</f>
        <v>0</v>
      </c>
      <c r="N339" s="60">
        <f>-capex_ship5*10^6+$F251+NPV(dr_med_ship5,$G251:N251)</f>
        <v>0</v>
      </c>
      <c r="O339" s="60">
        <f>-capex_ship5*10^6+$F251+NPV(dr_med_ship5,$G251:O251)</f>
        <v>0</v>
      </c>
      <c r="P339" s="60">
        <f>-capex_ship5*10^6+$F251+NPV(dr_med_ship5,$G251:P251)</f>
        <v>0</v>
      </c>
      <c r="Q339" s="60">
        <f>-capex_ship5*10^6+$F251+NPV(dr_med_ship5,$G251:Q251)</f>
        <v>0</v>
      </c>
      <c r="R339" s="60">
        <f>-capex_ship5*10^6+$F251+NPV(dr_med_ship5,$G251:R251)</f>
        <v>0</v>
      </c>
      <c r="S339" s="60">
        <f>-capex_ship5*10^6+$F251+NPV(dr_med_ship5,$G251:S251)</f>
        <v>0</v>
      </c>
      <c r="T339" s="60">
        <f>-capex_ship5*10^6+$F251+NPV(dr_med_ship5,$G251:T251)</f>
        <v>0</v>
      </c>
      <c r="U339" s="60">
        <f>-capex_ship5*10^6+$F251+NPV(dr_med_ship5,$G251:U251)</f>
        <v>0</v>
      </c>
      <c r="V339" s="60">
        <f>-capex_ship5*10^6+$F251+NPV(dr_med_ship5,$G251:V251)</f>
        <v>0</v>
      </c>
      <c r="W339" s="60">
        <f>-capex_ship5*10^6+$F251+NPV(dr_med_ship5,$G251:W251)</f>
        <v>0</v>
      </c>
      <c r="X339" s="60">
        <f>-capex_ship5*10^6+$F251+NPV(dr_med_ship5,$G251:X251)</f>
        <v>0</v>
      </c>
      <c r="Y339" s="60">
        <f>-capex_ship5*10^6+$F251+NPV(dr_med_ship5,$G251:Y251)</f>
        <v>0</v>
      </c>
      <c r="Z339" s="60">
        <f>-capex_ship5*10^6+$F251+NPV(dr_med_ship5,$G251:Z251)</f>
        <v>0</v>
      </c>
    </row>
    <row r="340" spans="1:32" x14ac:dyDescent="0.2">
      <c r="A340" s="248"/>
      <c r="B340" s="248"/>
      <c r="C340" s="30" t="s">
        <v>19</v>
      </c>
      <c r="D340" s="63" t="e">
        <f>NA()</f>
        <v>#N/A</v>
      </c>
      <c r="E340" s="63" t="e">
        <f>NA()</f>
        <v>#N/A</v>
      </c>
      <c r="F340" s="63">
        <f>-capex_ship5*10^6+$F252</f>
        <v>0</v>
      </c>
      <c r="G340" s="63">
        <f>-capex_ship5*10^6+$F252+NPV(dr_hi_ship5,$G252:G252)</f>
        <v>0</v>
      </c>
      <c r="H340" s="63">
        <f>-capex_ship5*10^6+$F252+NPV(dr_hi_ship5,$G252:H252)</f>
        <v>0</v>
      </c>
      <c r="I340" s="63">
        <f>-capex_ship5*10^6+$F252+NPV(dr_hi_ship5,$G252:I252)</f>
        <v>0</v>
      </c>
      <c r="J340" s="63">
        <f>-capex_ship5*10^6+$F252+NPV(dr_hi_ship5,$G252:J252)</f>
        <v>0</v>
      </c>
      <c r="K340" s="63">
        <f>-capex_ship5*10^6+$F252+NPV(dr_hi_ship5,$G252:K252)</f>
        <v>0</v>
      </c>
      <c r="L340" s="63">
        <f>-capex_ship5*10^6+$F252+NPV(dr_hi_ship5,$G252:L252)</f>
        <v>0</v>
      </c>
      <c r="M340" s="63">
        <f>-capex_ship5*10^6+$F252+NPV(dr_hi_ship5,$G252:M252)</f>
        <v>0</v>
      </c>
      <c r="N340" s="63">
        <f>-capex_ship5*10^6+$F252+NPV(dr_hi_ship5,$G252:N252)</f>
        <v>0</v>
      </c>
      <c r="O340" s="63">
        <f>-capex_ship5*10^6+$F252+NPV(dr_hi_ship5,$G252:O252)</f>
        <v>0</v>
      </c>
      <c r="P340" s="63">
        <f>-capex_ship5*10^6+$F252+NPV(dr_hi_ship5,$G252:P252)</f>
        <v>0</v>
      </c>
      <c r="Q340" s="63">
        <f>-capex_ship5*10^6+$F252+NPV(dr_hi_ship5,$G252:Q252)</f>
        <v>0</v>
      </c>
      <c r="R340" s="63">
        <f>-capex_ship5*10^6+$F252+NPV(dr_hi_ship5,$G252:R252)</f>
        <v>0</v>
      </c>
      <c r="S340" s="63">
        <f>-capex_ship5*10^6+$F252+NPV(dr_hi_ship5,$G252:S252)</f>
        <v>0</v>
      </c>
      <c r="T340" s="63">
        <f>-capex_ship5*10^6+$F252+NPV(dr_hi_ship5,$G252:T252)</f>
        <v>0</v>
      </c>
      <c r="U340" s="63">
        <f>-capex_ship5*10^6+$F252+NPV(dr_hi_ship5,$G252:U252)</f>
        <v>0</v>
      </c>
      <c r="V340" s="63">
        <f>-capex_ship5*10^6+$F252+NPV(dr_hi_ship5,$G252:V252)</f>
        <v>0</v>
      </c>
      <c r="W340" s="63">
        <f>-capex_ship5*10^6+$F252+NPV(dr_hi_ship5,$G252:W252)</f>
        <v>0</v>
      </c>
      <c r="X340" s="63">
        <f>-capex_ship5*10^6+$F252+NPV(dr_hi_ship5,$G252:X252)</f>
        <v>0</v>
      </c>
      <c r="Y340" s="63">
        <f>-capex_ship5*10^6+$F252+NPV(dr_hi_ship5,$G252:Y252)</f>
        <v>0</v>
      </c>
      <c r="Z340" s="63">
        <f>-capex_ship5*10^6+$F252+NPV(dr_hi_ship5,$G252:Z252)</f>
        <v>0</v>
      </c>
    </row>
    <row r="341" spans="1:32" x14ac:dyDescent="0.2">
      <c r="A341" s="248"/>
      <c r="B341" s="248">
        <f>ship6</f>
        <v>0</v>
      </c>
      <c r="C341" s="30" t="s">
        <v>17</v>
      </c>
      <c r="D341" s="56" t="e">
        <f>NA()</f>
        <v>#N/A</v>
      </c>
      <c r="E341" s="56" t="e">
        <f>NA()</f>
        <v>#N/A</v>
      </c>
      <c r="F341" s="56">
        <f>-capex_ship6*10^6+$F253</f>
        <v>0</v>
      </c>
      <c r="G341" s="56">
        <f>-capex_ship6*10^6+$F253+NPV(dr_lo_ship6,$G253:G253)</f>
        <v>0</v>
      </c>
      <c r="H341" s="56">
        <f>-capex_ship6*10^6+$F253+NPV(dr_lo_ship6,$G253:H253)</f>
        <v>0</v>
      </c>
      <c r="I341" s="56">
        <f>-capex_ship6*10^6+$F253+NPV(dr_lo_ship6,$G253:I253)</f>
        <v>0</v>
      </c>
      <c r="J341" s="56">
        <f>-capex_ship6*10^6+$F253+NPV(dr_lo_ship6,$G253:J253)</f>
        <v>0</v>
      </c>
      <c r="K341" s="56">
        <f>-capex_ship6*10^6+$F253+NPV(dr_lo_ship6,$G253:K253)</f>
        <v>0</v>
      </c>
      <c r="L341" s="56">
        <f>-capex_ship6*10^6+$F253+NPV(dr_lo_ship6,$G253:L253)</f>
        <v>0</v>
      </c>
      <c r="M341" s="56">
        <f>-capex_ship6*10^6+$F253+NPV(dr_lo_ship6,$G253:M253)</f>
        <v>0</v>
      </c>
      <c r="N341" s="56">
        <f>-capex_ship6*10^6+$F253+NPV(dr_lo_ship6,$G253:N253)</f>
        <v>0</v>
      </c>
      <c r="O341" s="56">
        <f>-capex_ship6*10^6+$F253+NPV(dr_lo_ship6,$G253:O253)</f>
        <v>0</v>
      </c>
      <c r="P341" s="56">
        <f>-capex_ship6*10^6+$F253+NPV(dr_lo_ship6,$G253:P253)</f>
        <v>0</v>
      </c>
      <c r="Q341" s="56">
        <f>-capex_ship6*10^6+$F253+NPV(dr_lo_ship6,$G253:Q253)</f>
        <v>0</v>
      </c>
      <c r="R341" s="56">
        <f>-capex_ship6*10^6+$F253+NPV(dr_lo_ship6,$G253:R253)</f>
        <v>0</v>
      </c>
      <c r="S341" s="56">
        <f>-capex_ship6*10^6+$F253+NPV(dr_lo_ship6,$G253:S253)</f>
        <v>0</v>
      </c>
      <c r="T341" s="56">
        <f>-capex_ship6*10^6+$F253+NPV(dr_lo_ship6,$G253:T253)</f>
        <v>0</v>
      </c>
      <c r="U341" s="56">
        <f>-capex_ship6*10^6+$F253+NPV(dr_lo_ship6,$G253:U253)</f>
        <v>0</v>
      </c>
      <c r="V341" s="56">
        <f>-capex_ship6*10^6+$F253+NPV(dr_lo_ship6,$G253:V253)</f>
        <v>0</v>
      </c>
      <c r="W341" s="56">
        <f>-capex_ship6*10^6+$F253+NPV(dr_lo_ship6,$G253:W253)</f>
        <v>0</v>
      </c>
      <c r="X341" s="56">
        <f>-capex_ship6*10^6+$F253+NPV(dr_lo_ship6,$G253:X253)</f>
        <v>0</v>
      </c>
      <c r="Y341" s="56">
        <f>-capex_ship6*10^6+$F253+NPV(dr_lo_ship6,$G253:Y253)</f>
        <v>0</v>
      </c>
      <c r="Z341" s="56">
        <f>-capex_ship6*10^6+$F253+NPV(dr_lo_ship6,$G253:Z253)</f>
        <v>0</v>
      </c>
    </row>
    <row r="342" spans="1:32" x14ac:dyDescent="0.2">
      <c r="A342" s="248"/>
      <c r="B342" s="248"/>
      <c r="C342" s="30" t="s">
        <v>18</v>
      </c>
      <c r="D342" s="60" t="e">
        <f>NA()</f>
        <v>#N/A</v>
      </c>
      <c r="E342" s="60" t="e">
        <f>NA()</f>
        <v>#N/A</v>
      </c>
      <c r="F342" s="60">
        <f>-capex_ship6*10^6+$F254</f>
        <v>0</v>
      </c>
      <c r="G342" s="60">
        <f>-capex_ship6*10^6+$F254+NPV(dr_med_ship6,$G254:G254)</f>
        <v>0</v>
      </c>
      <c r="H342" s="60">
        <f>-capex_ship6*10^6+$F254+NPV(dr_med_ship6,$G254:H254)</f>
        <v>0</v>
      </c>
      <c r="I342" s="60">
        <f>-capex_ship6*10^6+$F254+NPV(dr_med_ship6,$G254:I254)</f>
        <v>0</v>
      </c>
      <c r="J342" s="60">
        <f>-capex_ship6*10^6+$F254+NPV(dr_med_ship6,$G254:J254)</f>
        <v>0</v>
      </c>
      <c r="K342" s="60">
        <f>-capex_ship6*10^6+$F254+NPV(dr_med_ship6,$G254:K254)</f>
        <v>0</v>
      </c>
      <c r="L342" s="60">
        <f>-capex_ship6*10^6+$F254+NPV(dr_med_ship6,$G254:L254)</f>
        <v>0</v>
      </c>
      <c r="M342" s="60">
        <f>-capex_ship6*10^6+$F254+NPV(dr_med_ship6,$G254:M254)</f>
        <v>0</v>
      </c>
      <c r="N342" s="60">
        <f>-capex_ship6*10^6+$F254+NPV(dr_med_ship6,$G254:N254)</f>
        <v>0</v>
      </c>
      <c r="O342" s="60">
        <f>-capex_ship6*10^6+$F254+NPV(dr_med_ship6,$G254:O254)</f>
        <v>0</v>
      </c>
      <c r="P342" s="60">
        <f>-capex_ship6*10^6+$F254+NPV(dr_med_ship6,$G254:P254)</f>
        <v>0</v>
      </c>
      <c r="Q342" s="60">
        <f>-capex_ship6*10^6+$F254+NPV(dr_med_ship6,$G254:Q254)</f>
        <v>0</v>
      </c>
      <c r="R342" s="60">
        <f>-capex_ship6*10^6+$F254+NPV(dr_med_ship6,$G254:R254)</f>
        <v>0</v>
      </c>
      <c r="S342" s="60">
        <f>-capex_ship6*10^6+$F254+NPV(dr_med_ship6,$G254:S254)</f>
        <v>0</v>
      </c>
      <c r="T342" s="60">
        <f>-capex_ship6*10^6+$F254+NPV(dr_med_ship6,$G254:T254)</f>
        <v>0</v>
      </c>
      <c r="U342" s="60">
        <f>-capex_ship6*10^6+$F254+NPV(dr_med_ship6,$G254:U254)</f>
        <v>0</v>
      </c>
      <c r="V342" s="60">
        <f>-capex_ship6*10^6+$F254+NPV(dr_med_ship6,$G254:V254)</f>
        <v>0</v>
      </c>
      <c r="W342" s="60">
        <f>-capex_ship6*10^6+$F254+NPV(dr_med_ship6,$G254:W254)</f>
        <v>0</v>
      </c>
      <c r="X342" s="60">
        <f>-capex_ship6*10^6+$F254+NPV(dr_med_ship6,$G254:X254)</f>
        <v>0</v>
      </c>
      <c r="Y342" s="60">
        <f>-capex_ship6*10^6+$F254+NPV(dr_med_ship6,$G254:Y254)</f>
        <v>0</v>
      </c>
      <c r="Z342" s="60">
        <f>-capex_ship6*10^6+$F254+NPV(dr_med_ship6,$G254:Z254)</f>
        <v>0</v>
      </c>
    </row>
    <row r="343" spans="1:32" x14ac:dyDescent="0.2">
      <c r="A343" s="248"/>
      <c r="B343" s="248"/>
      <c r="C343" s="30" t="s">
        <v>19</v>
      </c>
      <c r="D343" s="63" t="e">
        <f>NA()</f>
        <v>#N/A</v>
      </c>
      <c r="E343" s="63" t="e">
        <f>NA()</f>
        <v>#N/A</v>
      </c>
      <c r="F343" s="63">
        <f>-capex_ship6*10^6+$F255</f>
        <v>0</v>
      </c>
      <c r="G343" s="63">
        <f>-capex_ship6*10^6+$F255+NPV(dr_hi_ship6,$G255:G255)</f>
        <v>0</v>
      </c>
      <c r="H343" s="63">
        <f>-capex_ship6*10^6+$F255+NPV(dr_hi_ship6,$G255:H255)</f>
        <v>0</v>
      </c>
      <c r="I343" s="63">
        <f>-capex_ship6*10^6+$F255+NPV(dr_hi_ship6,$G255:I255)</f>
        <v>0</v>
      </c>
      <c r="J343" s="63">
        <f>-capex_ship6*10^6+$F255+NPV(dr_hi_ship6,$G255:J255)</f>
        <v>0</v>
      </c>
      <c r="K343" s="63">
        <f>-capex_ship6*10^6+$F255+NPV(dr_hi_ship6,$G255:K255)</f>
        <v>0</v>
      </c>
      <c r="L343" s="63">
        <f>-capex_ship6*10^6+$F255+NPV(dr_hi_ship6,$G255:L255)</f>
        <v>0</v>
      </c>
      <c r="M343" s="63">
        <f>-capex_ship6*10^6+$F255+NPV(dr_hi_ship6,$G255:M255)</f>
        <v>0</v>
      </c>
      <c r="N343" s="63">
        <f>-capex_ship6*10^6+$F255+NPV(dr_hi_ship6,$G255:N255)</f>
        <v>0</v>
      </c>
      <c r="O343" s="63">
        <f>-capex_ship6*10^6+$F255+NPV(dr_hi_ship6,$G255:O255)</f>
        <v>0</v>
      </c>
      <c r="P343" s="63">
        <f>-capex_ship6*10^6+$F255+NPV(dr_hi_ship6,$G255:P255)</f>
        <v>0</v>
      </c>
      <c r="Q343" s="63">
        <f>-capex_ship6*10^6+$F255+NPV(dr_hi_ship6,$G255:Q255)</f>
        <v>0</v>
      </c>
      <c r="R343" s="63">
        <f>-capex_ship6*10^6+$F255+NPV(dr_hi_ship6,$G255:R255)</f>
        <v>0</v>
      </c>
      <c r="S343" s="63">
        <f>-capex_ship6*10^6+$F255+NPV(dr_hi_ship6,$G255:S255)</f>
        <v>0</v>
      </c>
      <c r="T343" s="63">
        <f>-capex_ship6*10^6+$F255+NPV(dr_hi_ship6,$G255:T255)</f>
        <v>0</v>
      </c>
      <c r="U343" s="63">
        <f>-capex_ship6*10^6+$F255+NPV(dr_hi_ship6,$G255:U255)</f>
        <v>0</v>
      </c>
      <c r="V343" s="63">
        <f>-capex_ship6*10^6+$F255+NPV(dr_hi_ship6,$G255:V255)</f>
        <v>0</v>
      </c>
      <c r="W343" s="63">
        <f>-capex_ship6*10^6+$F255+NPV(dr_hi_ship6,$G255:W255)</f>
        <v>0</v>
      </c>
      <c r="X343" s="63">
        <f>-capex_ship6*10^6+$F255+NPV(dr_hi_ship6,$G255:X255)</f>
        <v>0</v>
      </c>
      <c r="Y343" s="63">
        <f>-capex_ship6*10^6+$F255+NPV(dr_hi_ship6,$G255:Y255)</f>
        <v>0</v>
      </c>
      <c r="Z343" s="63">
        <f>-capex_ship6*10^6+$F255+NPV(dr_hi_ship6,$G255:Z255)</f>
        <v>0</v>
      </c>
    </row>
    <row r="344" spans="1:32" ht="12.75" customHeight="1" x14ac:dyDescent="0.2">
      <c r="A344" s="248" t="s">
        <v>114</v>
      </c>
      <c r="B344" s="248">
        <f>ship_plot</f>
        <v>0</v>
      </c>
      <c r="C344" s="30" t="s">
        <v>17</v>
      </c>
      <c r="D344" s="56" t="e">
        <f t="shared" ref="D344:Z344" si="277">IF(ship_plot=ship1,D326,IF(ship_plot=ship2,D329,IF(ship_plot=ship3,D332,IF(ship_plot=ship4,D335,IF(ship_plot=ship5,D338,IF(ship_plot=ship6,D341,"error"))))))</f>
        <v>#N/A</v>
      </c>
      <c r="E344" s="56" t="e">
        <f t="shared" si="277"/>
        <v>#N/A</v>
      </c>
      <c r="F344" s="56">
        <f t="shared" si="277"/>
        <v>0</v>
      </c>
      <c r="G344" s="56">
        <f t="shared" si="277"/>
        <v>0</v>
      </c>
      <c r="H344" s="56">
        <f t="shared" si="277"/>
        <v>0</v>
      </c>
      <c r="I344" s="56">
        <f t="shared" si="277"/>
        <v>0</v>
      </c>
      <c r="J344" s="56">
        <f t="shared" si="277"/>
        <v>0</v>
      </c>
      <c r="K344" s="56">
        <f t="shared" si="277"/>
        <v>0</v>
      </c>
      <c r="L344" s="56">
        <f t="shared" si="277"/>
        <v>0</v>
      </c>
      <c r="M344" s="56">
        <f t="shared" si="277"/>
        <v>0</v>
      </c>
      <c r="N344" s="56">
        <f t="shared" si="277"/>
        <v>0</v>
      </c>
      <c r="O344" s="56">
        <f t="shared" si="277"/>
        <v>0</v>
      </c>
      <c r="P344" s="56">
        <f t="shared" si="277"/>
        <v>0</v>
      </c>
      <c r="Q344" s="56">
        <f t="shared" si="277"/>
        <v>0</v>
      </c>
      <c r="R344" s="56">
        <f t="shared" si="277"/>
        <v>0</v>
      </c>
      <c r="S344" s="56">
        <f t="shared" si="277"/>
        <v>0</v>
      </c>
      <c r="T344" s="56">
        <f t="shared" si="277"/>
        <v>0</v>
      </c>
      <c r="U344" s="56">
        <f t="shared" si="277"/>
        <v>0</v>
      </c>
      <c r="V344" s="56">
        <f t="shared" si="277"/>
        <v>0</v>
      </c>
      <c r="W344" s="56">
        <f t="shared" si="277"/>
        <v>0</v>
      </c>
      <c r="X344" s="56">
        <f t="shared" si="277"/>
        <v>0</v>
      </c>
      <c r="Y344" s="56">
        <f t="shared" si="277"/>
        <v>0</v>
      </c>
      <c r="Z344" s="56">
        <f t="shared" si="277"/>
        <v>0</v>
      </c>
    </row>
    <row r="345" spans="1:32" x14ac:dyDescent="0.2">
      <c r="A345" s="248"/>
      <c r="B345" s="248"/>
      <c r="C345" s="30" t="s">
        <v>18</v>
      </c>
      <c r="D345" s="60" t="e">
        <f t="shared" ref="D345:Z345" si="278">IF(ship_plot=ship1,D327,IF(ship_plot=ship2,D330,IF(ship_plot=ship3,D333,IF(ship_plot=ship4,D336,IF(ship_plot=ship5,D339,IF(ship_plot=ship6,D342,"error"))))))</f>
        <v>#N/A</v>
      </c>
      <c r="E345" s="60" t="e">
        <f t="shared" si="278"/>
        <v>#N/A</v>
      </c>
      <c r="F345" s="60">
        <f t="shared" si="278"/>
        <v>0</v>
      </c>
      <c r="G345" s="60">
        <f t="shared" si="278"/>
        <v>0</v>
      </c>
      <c r="H345" s="60">
        <f t="shared" si="278"/>
        <v>0</v>
      </c>
      <c r="I345" s="60">
        <f t="shared" si="278"/>
        <v>0</v>
      </c>
      <c r="J345" s="60">
        <f t="shared" si="278"/>
        <v>0</v>
      </c>
      <c r="K345" s="60">
        <f t="shared" si="278"/>
        <v>0</v>
      </c>
      <c r="L345" s="60">
        <f t="shared" si="278"/>
        <v>0</v>
      </c>
      <c r="M345" s="60">
        <f t="shared" si="278"/>
        <v>0</v>
      </c>
      <c r="N345" s="60">
        <f t="shared" si="278"/>
        <v>0</v>
      </c>
      <c r="O345" s="60">
        <f t="shared" si="278"/>
        <v>0</v>
      </c>
      <c r="P345" s="60">
        <f t="shared" si="278"/>
        <v>0</v>
      </c>
      <c r="Q345" s="60">
        <f t="shared" si="278"/>
        <v>0</v>
      </c>
      <c r="R345" s="60">
        <f t="shared" si="278"/>
        <v>0</v>
      </c>
      <c r="S345" s="60">
        <f t="shared" si="278"/>
        <v>0</v>
      </c>
      <c r="T345" s="60">
        <f t="shared" si="278"/>
        <v>0</v>
      </c>
      <c r="U345" s="60">
        <f t="shared" si="278"/>
        <v>0</v>
      </c>
      <c r="V345" s="60">
        <f t="shared" si="278"/>
        <v>0</v>
      </c>
      <c r="W345" s="60">
        <f t="shared" si="278"/>
        <v>0</v>
      </c>
      <c r="X345" s="60">
        <f t="shared" si="278"/>
        <v>0</v>
      </c>
      <c r="Y345" s="60">
        <f t="shared" si="278"/>
        <v>0</v>
      </c>
      <c r="Z345" s="60">
        <f t="shared" si="278"/>
        <v>0</v>
      </c>
    </row>
    <row r="346" spans="1:32" x14ac:dyDescent="0.2">
      <c r="A346" s="248"/>
      <c r="B346" s="248"/>
      <c r="C346" s="30" t="s">
        <v>19</v>
      </c>
      <c r="D346" s="63" t="e">
        <f t="shared" ref="D346:Z346" si="279">IF(ship_plot=ship1,D328,IF(ship_plot=ship2,D331,IF(ship_plot=ship3,D334,IF(ship_plot=ship4,D337,IF(ship_plot=ship5,D340,IF(ship_plot=ship6,D343,"error"))))))</f>
        <v>#N/A</v>
      </c>
      <c r="E346" s="63" t="e">
        <f t="shared" si="279"/>
        <v>#N/A</v>
      </c>
      <c r="F346" s="63">
        <f t="shared" si="279"/>
        <v>0</v>
      </c>
      <c r="G346" s="63">
        <f t="shared" si="279"/>
        <v>0</v>
      </c>
      <c r="H346" s="63">
        <f t="shared" si="279"/>
        <v>0</v>
      </c>
      <c r="I346" s="63">
        <f t="shared" si="279"/>
        <v>0</v>
      </c>
      <c r="J346" s="63">
        <f t="shared" si="279"/>
        <v>0</v>
      </c>
      <c r="K346" s="63">
        <f t="shared" si="279"/>
        <v>0</v>
      </c>
      <c r="L346" s="63">
        <f t="shared" si="279"/>
        <v>0</v>
      </c>
      <c r="M346" s="63">
        <f t="shared" si="279"/>
        <v>0</v>
      </c>
      <c r="N346" s="63">
        <f t="shared" si="279"/>
        <v>0</v>
      </c>
      <c r="O346" s="63">
        <f t="shared" si="279"/>
        <v>0</v>
      </c>
      <c r="P346" s="63">
        <f t="shared" si="279"/>
        <v>0</v>
      </c>
      <c r="Q346" s="63">
        <f t="shared" si="279"/>
        <v>0</v>
      </c>
      <c r="R346" s="63">
        <f t="shared" si="279"/>
        <v>0</v>
      </c>
      <c r="S346" s="63">
        <f t="shared" si="279"/>
        <v>0</v>
      </c>
      <c r="T346" s="63">
        <f t="shared" si="279"/>
        <v>0</v>
      </c>
      <c r="U346" s="63">
        <f t="shared" si="279"/>
        <v>0</v>
      </c>
      <c r="V346" s="63">
        <f t="shared" si="279"/>
        <v>0</v>
      </c>
      <c r="W346" s="63">
        <f t="shared" si="279"/>
        <v>0</v>
      </c>
      <c r="X346" s="63">
        <f t="shared" si="279"/>
        <v>0</v>
      </c>
      <c r="Y346" s="63">
        <f t="shared" si="279"/>
        <v>0</v>
      </c>
      <c r="Z346" s="63">
        <f t="shared" si="279"/>
        <v>0</v>
      </c>
    </row>
    <row r="347" spans="1:32" ht="12.75" customHeight="1" x14ac:dyDescent="0.2">
      <c r="A347" s="76" t="s">
        <v>115</v>
      </c>
      <c r="B347" s="76">
        <f>ship_plot</f>
        <v>0</v>
      </c>
      <c r="C347" s="77">
        <f>scenario_display</f>
        <v>0</v>
      </c>
      <c r="D347" s="78" t="e">
        <f t="shared" ref="D347:Z347" si="280">IF(scenario_display="Low",D344,IF(scenario_display="Medium",D345,D346))</f>
        <v>#N/A</v>
      </c>
      <c r="E347" s="78" t="e">
        <f t="shared" si="280"/>
        <v>#N/A</v>
      </c>
      <c r="F347" s="78">
        <f t="shared" si="280"/>
        <v>0</v>
      </c>
      <c r="G347" s="78">
        <f t="shared" si="280"/>
        <v>0</v>
      </c>
      <c r="H347" s="78">
        <f t="shared" si="280"/>
        <v>0</v>
      </c>
      <c r="I347" s="78">
        <f t="shared" si="280"/>
        <v>0</v>
      </c>
      <c r="J347" s="78">
        <f t="shared" si="280"/>
        <v>0</v>
      </c>
      <c r="K347" s="78">
        <f t="shared" si="280"/>
        <v>0</v>
      </c>
      <c r="L347" s="78">
        <f t="shared" si="280"/>
        <v>0</v>
      </c>
      <c r="M347" s="78">
        <f t="shared" si="280"/>
        <v>0</v>
      </c>
      <c r="N347" s="78">
        <f t="shared" si="280"/>
        <v>0</v>
      </c>
      <c r="O347" s="78">
        <f t="shared" si="280"/>
        <v>0</v>
      </c>
      <c r="P347" s="78">
        <f t="shared" si="280"/>
        <v>0</v>
      </c>
      <c r="Q347" s="78">
        <f t="shared" si="280"/>
        <v>0</v>
      </c>
      <c r="R347" s="78">
        <f t="shared" si="280"/>
        <v>0</v>
      </c>
      <c r="S347" s="78">
        <f t="shared" si="280"/>
        <v>0</v>
      </c>
      <c r="T347" s="78">
        <f t="shared" si="280"/>
        <v>0</v>
      </c>
      <c r="U347" s="78">
        <f t="shared" si="280"/>
        <v>0</v>
      </c>
      <c r="V347" s="78">
        <f t="shared" si="280"/>
        <v>0</v>
      </c>
      <c r="W347" s="78">
        <f t="shared" si="280"/>
        <v>0</v>
      </c>
      <c r="X347" s="78">
        <f t="shared" si="280"/>
        <v>0</v>
      </c>
      <c r="Y347" s="78">
        <f t="shared" si="280"/>
        <v>0</v>
      </c>
      <c r="Z347" s="78">
        <f t="shared" si="280"/>
        <v>0</v>
      </c>
    </row>
    <row r="348" spans="1:32" x14ac:dyDescent="0.2">
      <c r="A348" s="248" t="s">
        <v>118</v>
      </c>
      <c r="B348" s="248">
        <f>ship1</f>
        <v>0</v>
      </c>
      <c r="C348" s="30" t="s">
        <v>17</v>
      </c>
      <c r="D348" s="56" t="e">
        <f>NA()</f>
        <v>#N/A</v>
      </c>
      <c r="E348" s="56" t="e">
        <f>NA()</f>
        <v>#N/A</v>
      </c>
      <c r="F348" s="56" t="e">
        <f>NA()</f>
        <v>#N/A</v>
      </c>
      <c r="G348" s="56">
        <f>-capex_ship1*10^6+$G238</f>
        <v>0</v>
      </c>
      <c r="H348" s="56">
        <f>-capex_ship1*10^6+$G238+NPV(dr_lo_ship1,$H238:H238)</f>
        <v>0</v>
      </c>
      <c r="I348" s="56">
        <f>-capex_ship1*10^6+$G238+NPV(dr_lo_ship1,$H238:I238)</f>
        <v>0</v>
      </c>
      <c r="J348" s="56">
        <f>-capex_ship1*10^6+$G238+NPV(dr_lo_ship1,$H238:J238)</f>
        <v>0</v>
      </c>
      <c r="K348" s="56">
        <f>-capex_ship1*10^6+$G238+NPV(dr_lo_ship1,$H238:K238)</f>
        <v>0</v>
      </c>
      <c r="L348" s="56">
        <f>-capex_ship1*10^6+$G238+NPV(dr_lo_ship1,$H238:L238)</f>
        <v>0</v>
      </c>
      <c r="M348" s="56">
        <f>-capex_ship1*10^6+$G238+NPV(dr_lo_ship1,$H238:M238)</f>
        <v>0</v>
      </c>
      <c r="N348" s="56">
        <f>-capex_ship1*10^6+$G238+NPV(dr_lo_ship1,$H238:N238)</f>
        <v>0</v>
      </c>
      <c r="O348" s="56">
        <f>-capex_ship1*10^6+$G238+NPV(dr_lo_ship1,$H238:O238)</f>
        <v>0</v>
      </c>
      <c r="P348" s="56">
        <f>-capex_ship1*10^6+$G238+NPV(dr_lo_ship1,$H238:P238)</f>
        <v>0</v>
      </c>
      <c r="Q348" s="56">
        <f>-capex_ship1*10^6+$G238+NPV(dr_lo_ship1,$H238:Q238)</f>
        <v>0</v>
      </c>
      <c r="R348" s="56">
        <f>-capex_ship1*10^6+$G238+NPV(dr_lo_ship1,$H238:R238)</f>
        <v>0</v>
      </c>
      <c r="S348" s="56">
        <f>-capex_ship1*10^6+$G238+NPV(dr_lo_ship1,$H238:S238)</f>
        <v>0</v>
      </c>
      <c r="T348" s="56">
        <f>-capex_ship1*10^6+$G238+NPV(dr_lo_ship1,$H238:T238)</f>
        <v>0</v>
      </c>
      <c r="U348" s="56">
        <f>-capex_ship1*10^6+$G238+NPV(dr_lo_ship1,$H238:U238)</f>
        <v>0</v>
      </c>
      <c r="V348" s="56">
        <f>-capex_ship1*10^6+$G238+NPV(dr_lo_ship1,$H238:V238)</f>
        <v>0</v>
      </c>
      <c r="W348" s="56">
        <f>-capex_ship1*10^6+$G238+NPV(dr_lo_ship1,$H238:W238)</f>
        <v>0</v>
      </c>
      <c r="X348" s="56">
        <f>-capex_ship1*10^6+$G238+NPV(dr_lo_ship1,$H238:X238)</f>
        <v>0</v>
      </c>
      <c r="Y348" s="56">
        <f>-capex_ship1*10^6+$G238+NPV(dr_lo_ship1,$H238:Y238)</f>
        <v>0</v>
      </c>
      <c r="Z348" s="56">
        <f>-capex_ship1*10^6+$G238+NPV(dr_lo_ship1,$H238:Z238)</f>
        <v>0</v>
      </c>
    </row>
    <row r="349" spans="1:32" x14ac:dyDescent="0.2">
      <c r="A349" s="248"/>
      <c r="B349" s="248"/>
      <c r="C349" s="30" t="s">
        <v>18</v>
      </c>
      <c r="D349" s="60" t="e">
        <f>NA()</f>
        <v>#N/A</v>
      </c>
      <c r="E349" s="60" t="e">
        <f>NA()</f>
        <v>#N/A</v>
      </c>
      <c r="F349" s="60" t="e">
        <f>NA()</f>
        <v>#N/A</v>
      </c>
      <c r="G349" s="60">
        <f>-capex_ship1*10^6+$G239</f>
        <v>0</v>
      </c>
      <c r="H349" s="60">
        <f>-capex_ship1*10^6+$G239+NPV(dr_med_ship1,$H239:H239)</f>
        <v>0</v>
      </c>
      <c r="I349" s="60">
        <f>-capex_ship1*10^6+$G239+NPV(dr_med_ship1,$H239:I239)</f>
        <v>0</v>
      </c>
      <c r="J349" s="60">
        <f>-capex_ship1*10^6+$G239+NPV(dr_med_ship1,$H239:J239)</f>
        <v>0</v>
      </c>
      <c r="K349" s="60">
        <f>-capex_ship1*10^6+$G239+NPV(dr_med_ship1,$H239:K239)</f>
        <v>0</v>
      </c>
      <c r="L349" s="60">
        <f>-capex_ship1*10^6+$G239+NPV(dr_med_ship1,$H239:L239)</f>
        <v>0</v>
      </c>
      <c r="M349" s="60">
        <f>-capex_ship1*10^6+$G239+NPV(dr_med_ship1,$H239:M239)</f>
        <v>0</v>
      </c>
      <c r="N349" s="60">
        <f>-capex_ship1*10^6+$G239+NPV(dr_med_ship1,$H239:N239)</f>
        <v>0</v>
      </c>
      <c r="O349" s="60">
        <f>-capex_ship1*10^6+$G239+NPV(dr_med_ship1,$H239:O239)</f>
        <v>0</v>
      </c>
      <c r="P349" s="60">
        <f>-capex_ship1*10^6+$G239+NPV(dr_med_ship1,$H239:P239)</f>
        <v>0</v>
      </c>
      <c r="Q349" s="60">
        <f>-capex_ship1*10^6+$G239+NPV(dr_med_ship1,$H239:Q239)</f>
        <v>0</v>
      </c>
      <c r="R349" s="60">
        <f>-capex_ship1*10^6+$G239+NPV(dr_med_ship1,$H239:R239)</f>
        <v>0</v>
      </c>
      <c r="S349" s="60">
        <f>-capex_ship1*10^6+$G239+NPV(dr_med_ship1,$H239:S239)</f>
        <v>0</v>
      </c>
      <c r="T349" s="60">
        <f>-capex_ship1*10^6+$G239+NPV(dr_med_ship1,$H239:T239)</f>
        <v>0</v>
      </c>
      <c r="U349" s="60">
        <f>-capex_ship1*10^6+$G239+NPV(dr_med_ship1,$H239:U239)</f>
        <v>0</v>
      </c>
      <c r="V349" s="60">
        <f>-capex_ship1*10^6+$G239+NPV(dr_med_ship1,$H239:V239)</f>
        <v>0</v>
      </c>
      <c r="W349" s="60">
        <f>-capex_ship1*10^6+$G239+NPV(dr_med_ship1,$H239:W239)</f>
        <v>0</v>
      </c>
      <c r="X349" s="60">
        <f>-capex_ship1*10^6+$G239+NPV(dr_med_ship1,$H239:X239)</f>
        <v>0</v>
      </c>
      <c r="Y349" s="60">
        <f>-capex_ship1*10^6+$G239+NPV(dr_med_ship1,$H239:Y239)</f>
        <v>0</v>
      </c>
      <c r="Z349" s="60">
        <f>-capex_ship1*10^6+$G239+NPV(dr_med_ship1,$H239:Z239)</f>
        <v>0</v>
      </c>
    </row>
    <row r="350" spans="1:32" x14ac:dyDescent="0.2">
      <c r="A350" s="248"/>
      <c r="B350" s="248"/>
      <c r="C350" s="30" t="s">
        <v>19</v>
      </c>
      <c r="D350" s="63" t="e">
        <f>NA()</f>
        <v>#N/A</v>
      </c>
      <c r="E350" s="63" t="e">
        <f>NA()</f>
        <v>#N/A</v>
      </c>
      <c r="F350" s="63" t="e">
        <f>NA()</f>
        <v>#N/A</v>
      </c>
      <c r="G350" s="63">
        <f>-capex_ship1*10^6+$G240</f>
        <v>0</v>
      </c>
      <c r="H350" s="63">
        <f>-capex_ship1*10^6+$G240+NPV(dr_hi_ship1,$H240:H240)</f>
        <v>0</v>
      </c>
      <c r="I350" s="63">
        <f>-capex_ship1*10^6+$G240+NPV(dr_hi_ship1,$H240:I240)</f>
        <v>0</v>
      </c>
      <c r="J350" s="63">
        <f>-capex_ship1*10^6+$G240+NPV(dr_hi_ship1,$H240:J240)</f>
        <v>0</v>
      </c>
      <c r="K350" s="63">
        <f>-capex_ship1*10^6+$G240+NPV(dr_hi_ship1,$H240:K240)</f>
        <v>0</v>
      </c>
      <c r="L350" s="63">
        <f>-capex_ship1*10^6+$G240+NPV(dr_hi_ship1,$H240:L240)</f>
        <v>0</v>
      </c>
      <c r="M350" s="63">
        <f>-capex_ship1*10^6+$G240+NPV(dr_hi_ship1,$H240:M240)</f>
        <v>0</v>
      </c>
      <c r="N350" s="63">
        <f>-capex_ship1*10^6+$G240+NPV(dr_hi_ship1,$H240:N240)</f>
        <v>0</v>
      </c>
      <c r="O350" s="63">
        <f>-capex_ship1*10^6+$G240+NPV(dr_hi_ship1,$H240:O240)</f>
        <v>0</v>
      </c>
      <c r="P350" s="63">
        <f>-capex_ship1*10^6+$G240+NPV(dr_hi_ship1,$H240:P240)</f>
        <v>0</v>
      </c>
      <c r="Q350" s="63">
        <f>-capex_ship1*10^6+$G240+NPV(dr_hi_ship1,$H240:Q240)</f>
        <v>0</v>
      </c>
      <c r="R350" s="63">
        <f>-capex_ship1*10^6+$G240+NPV(dr_hi_ship1,$H240:R240)</f>
        <v>0</v>
      </c>
      <c r="S350" s="63">
        <f>-capex_ship1*10^6+$G240+NPV(dr_hi_ship1,$H240:S240)</f>
        <v>0</v>
      </c>
      <c r="T350" s="63">
        <f>-capex_ship1*10^6+$G240+NPV(dr_hi_ship1,$H240:T240)</f>
        <v>0</v>
      </c>
      <c r="U350" s="63">
        <f>-capex_ship1*10^6+$G240+NPV(dr_hi_ship1,$H240:U240)</f>
        <v>0</v>
      </c>
      <c r="V350" s="63">
        <f>-capex_ship1*10^6+$G240+NPV(dr_hi_ship1,$H240:V240)</f>
        <v>0</v>
      </c>
      <c r="W350" s="63">
        <f>-capex_ship1*10^6+$G240+NPV(dr_hi_ship1,$H240:W240)</f>
        <v>0</v>
      </c>
      <c r="X350" s="63">
        <f>-capex_ship1*10^6+$G240+NPV(dr_hi_ship1,$H240:X240)</f>
        <v>0</v>
      </c>
      <c r="Y350" s="63">
        <f>-capex_ship1*10^6+$G240+NPV(dr_hi_ship1,$H240:Y240)</f>
        <v>0</v>
      </c>
      <c r="Z350" s="63">
        <f>-capex_ship1*10^6+$G240+NPV(dr_hi_ship1,$H240:Z240)</f>
        <v>0</v>
      </c>
      <c r="AF350" s="108"/>
    </row>
    <row r="351" spans="1:32" x14ac:dyDescent="0.2">
      <c r="A351" s="248"/>
      <c r="B351" s="248">
        <f>ship2</f>
        <v>0</v>
      </c>
      <c r="C351" s="30" t="s">
        <v>17</v>
      </c>
      <c r="D351" s="56" t="e">
        <f>NA()</f>
        <v>#N/A</v>
      </c>
      <c r="E351" s="56" t="e">
        <f>NA()</f>
        <v>#N/A</v>
      </c>
      <c r="F351" s="56" t="e">
        <f>NA()</f>
        <v>#N/A</v>
      </c>
      <c r="G351" s="56">
        <f>-capex_ship2*10^6+$G241</f>
        <v>0</v>
      </c>
      <c r="H351" s="56">
        <f>-capex_ship2*10^6+$G241+NPV(dr_lo_ship2,$H241:H241)</f>
        <v>0</v>
      </c>
      <c r="I351" s="56">
        <f>-capex_ship2*10^6+$G241+NPV(dr_lo_ship2,$H241:I241)</f>
        <v>0</v>
      </c>
      <c r="J351" s="56">
        <f>-capex_ship2*10^6+$G241+NPV(dr_lo_ship2,$H241:J241)</f>
        <v>0</v>
      </c>
      <c r="K351" s="56">
        <f>-capex_ship2*10^6+$G241+NPV(dr_lo_ship2,$H241:K241)</f>
        <v>0</v>
      </c>
      <c r="L351" s="56">
        <f>-capex_ship2*10^6+$G241+NPV(dr_lo_ship2,$H241:L241)</f>
        <v>0</v>
      </c>
      <c r="M351" s="56">
        <f>-capex_ship2*10^6+$G241+NPV(dr_lo_ship2,$H241:M241)</f>
        <v>0</v>
      </c>
      <c r="N351" s="56">
        <f>-capex_ship2*10^6+$G241+NPV(dr_lo_ship2,$H241:N241)</f>
        <v>0</v>
      </c>
      <c r="O351" s="56">
        <f>-capex_ship2*10^6+$G241+NPV(dr_lo_ship2,$H241:O241)</f>
        <v>0</v>
      </c>
      <c r="P351" s="56">
        <f>-capex_ship2*10^6+$G241+NPV(dr_lo_ship2,$H241:P241)</f>
        <v>0</v>
      </c>
      <c r="Q351" s="56">
        <f>-capex_ship2*10^6+$G241+NPV(dr_lo_ship2,$H241:Q241)</f>
        <v>0</v>
      </c>
      <c r="R351" s="56">
        <f>-capex_ship2*10^6+$G241+NPV(dr_lo_ship2,$H241:R241)</f>
        <v>0</v>
      </c>
      <c r="S351" s="56">
        <f>-capex_ship2*10^6+$G241+NPV(dr_lo_ship2,$H241:S241)</f>
        <v>0</v>
      </c>
      <c r="T351" s="56">
        <f>-capex_ship2*10^6+$G241+NPV(dr_lo_ship2,$H241:T241)</f>
        <v>0</v>
      </c>
      <c r="U351" s="56">
        <f>-capex_ship2*10^6+$G241+NPV(dr_lo_ship2,$H241:U241)</f>
        <v>0</v>
      </c>
      <c r="V351" s="56">
        <f>-capex_ship2*10^6+$G241+NPV(dr_lo_ship2,$H241:V241)</f>
        <v>0</v>
      </c>
      <c r="W351" s="56">
        <f>-capex_ship2*10^6+$G241+NPV(dr_lo_ship2,$H241:W241)</f>
        <v>0</v>
      </c>
      <c r="X351" s="56">
        <f>-capex_ship2*10^6+$G241+NPV(dr_lo_ship2,$H241:X241)</f>
        <v>0</v>
      </c>
      <c r="Y351" s="56">
        <f>-capex_ship2*10^6+$G241+NPV(dr_lo_ship2,$H241:Y241)</f>
        <v>0</v>
      </c>
      <c r="Z351" s="56">
        <f>-capex_ship2*10^6+$G241+NPV(dr_lo_ship2,$H241:Z241)</f>
        <v>0</v>
      </c>
    </row>
    <row r="352" spans="1:32" x14ac:dyDescent="0.2">
      <c r="A352" s="248"/>
      <c r="B352" s="248"/>
      <c r="C352" s="30" t="s">
        <v>18</v>
      </c>
      <c r="D352" s="60" t="e">
        <f>NA()</f>
        <v>#N/A</v>
      </c>
      <c r="E352" s="60" t="e">
        <f>NA()</f>
        <v>#N/A</v>
      </c>
      <c r="F352" s="60" t="e">
        <f>NA()</f>
        <v>#N/A</v>
      </c>
      <c r="G352" s="60">
        <f>-capex_ship2*10^6+$G242</f>
        <v>0</v>
      </c>
      <c r="H352" s="60">
        <f>-capex_ship2*10^6+$G242+NPV(dr_med_ship2,$H242:H242)</f>
        <v>0</v>
      </c>
      <c r="I352" s="60">
        <f>-capex_ship2*10^6+$G242+NPV(dr_med_ship2,$H242:I242)</f>
        <v>0</v>
      </c>
      <c r="J352" s="60">
        <f>-capex_ship2*10^6+$G242+NPV(dr_med_ship2,$H242:J242)</f>
        <v>0</v>
      </c>
      <c r="K352" s="60">
        <f>-capex_ship2*10^6+$G242+NPV(dr_med_ship2,$H242:K242)</f>
        <v>0</v>
      </c>
      <c r="L352" s="60">
        <f>-capex_ship2*10^6+$G242+NPV(dr_med_ship2,$H242:L242)</f>
        <v>0</v>
      </c>
      <c r="M352" s="60">
        <f>-capex_ship2*10^6+$G242+NPV(dr_med_ship2,$H242:M242)</f>
        <v>0</v>
      </c>
      <c r="N352" s="60">
        <f>-capex_ship2*10^6+$G242+NPV(dr_med_ship2,$H242:N242)</f>
        <v>0</v>
      </c>
      <c r="O352" s="60">
        <f>-capex_ship2*10^6+$G242+NPV(dr_med_ship2,$H242:O242)</f>
        <v>0</v>
      </c>
      <c r="P352" s="60">
        <f>-capex_ship2*10^6+$G242+NPV(dr_med_ship2,$H242:P242)</f>
        <v>0</v>
      </c>
      <c r="Q352" s="60">
        <f>-capex_ship2*10^6+$G242+NPV(dr_med_ship2,$H242:Q242)</f>
        <v>0</v>
      </c>
      <c r="R352" s="60">
        <f>-capex_ship2*10^6+$G242+NPV(dr_med_ship2,$H242:R242)</f>
        <v>0</v>
      </c>
      <c r="S352" s="60">
        <f>-capex_ship2*10^6+$G242+NPV(dr_med_ship2,$H242:S242)</f>
        <v>0</v>
      </c>
      <c r="T352" s="60">
        <f>-capex_ship2*10^6+$G242+NPV(dr_med_ship2,$H242:T242)</f>
        <v>0</v>
      </c>
      <c r="U352" s="60">
        <f>-capex_ship2*10^6+$G242+NPV(dr_med_ship2,$H242:U242)</f>
        <v>0</v>
      </c>
      <c r="V352" s="60">
        <f>-capex_ship2*10^6+$G242+NPV(dr_med_ship2,$H242:V242)</f>
        <v>0</v>
      </c>
      <c r="W352" s="60">
        <f>-capex_ship2*10^6+$G242+NPV(dr_med_ship2,$H242:W242)</f>
        <v>0</v>
      </c>
      <c r="X352" s="60">
        <f>-capex_ship2*10^6+$G242+NPV(dr_med_ship2,$H242:X242)</f>
        <v>0</v>
      </c>
      <c r="Y352" s="60">
        <f>-capex_ship2*10^6+$G242+NPV(dr_med_ship2,$H242:Y242)</f>
        <v>0</v>
      </c>
      <c r="Z352" s="60">
        <f>-capex_ship2*10^6+$G242+NPV(dr_med_ship2,$H242:Z242)</f>
        <v>0</v>
      </c>
    </row>
    <row r="353" spans="1:26" x14ac:dyDescent="0.2">
      <c r="A353" s="248"/>
      <c r="B353" s="248"/>
      <c r="C353" s="30" t="s">
        <v>19</v>
      </c>
      <c r="D353" s="63" t="e">
        <f>NA()</f>
        <v>#N/A</v>
      </c>
      <c r="E353" s="63" t="e">
        <f>NA()</f>
        <v>#N/A</v>
      </c>
      <c r="F353" s="63" t="e">
        <f>NA()</f>
        <v>#N/A</v>
      </c>
      <c r="G353" s="63">
        <f>-capex_ship2*10^6+$G243</f>
        <v>0</v>
      </c>
      <c r="H353" s="63">
        <f>-capex_ship2*10^6+$G243+NPV(dr_hi_ship2,$H243:H243)</f>
        <v>0</v>
      </c>
      <c r="I353" s="63">
        <f>-capex_ship2*10^6+$G243+NPV(dr_hi_ship2,$H243:I243)</f>
        <v>0</v>
      </c>
      <c r="J353" s="63">
        <f>-capex_ship2*10^6+$G243+NPV(dr_hi_ship2,$H243:J243)</f>
        <v>0</v>
      </c>
      <c r="K353" s="63">
        <f>-capex_ship2*10^6+$G243+NPV(dr_hi_ship2,$H243:K243)</f>
        <v>0</v>
      </c>
      <c r="L353" s="63">
        <f>-capex_ship2*10^6+$G243+NPV(dr_hi_ship2,$H243:L243)</f>
        <v>0</v>
      </c>
      <c r="M353" s="63">
        <f>-capex_ship2*10^6+$G243+NPV(dr_hi_ship2,$H243:M243)</f>
        <v>0</v>
      </c>
      <c r="N353" s="63">
        <f>-capex_ship2*10^6+$G243+NPV(dr_hi_ship2,$H243:N243)</f>
        <v>0</v>
      </c>
      <c r="O353" s="63">
        <f>-capex_ship2*10^6+$G243+NPV(dr_hi_ship2,$H243:O243)</f>
        <v>0</v>
      </c>
      <c r="P353" s="63">
        <f>-capex_ship2*10^6+$G243+NPV(dr_hi_ship2,$H243:P243)</f>
        <v>0</v>
      </c>
      <c r="Q353" s="63">
        <f>-capex_ship2*10^6+$G243+NPV(dr_hi_ship2,$H243:Q243)</f>
        <v>0</v>
      </c>
      <c r="R353" s="63">
        <f>-capex_ship2*10^6+$G243+NPV(dr_hi_ship2,$H243:R243)</f>
        <v>0</v>
      </c>
      <c r="S353" s="63">
        <f>-capex_ship2*10^6+$G243+NPV(dr_hi_ship2,$H243:S243)</f>
        <v>0</v>
      </c>
      <c r="T353" s="63">
        <f>-capex_ship2*10^6+$G243+NPV(dr_hi_ship2,$H243:T243)</f>
        <v>0</v>
      </c>
      <c r="U353" s="63">
        <f>-capex_ship2*10^6+$G243+NPV(dr_hi_ship2,$H243:U243)</f>
        <v>0</v>
      </c>
      <c r="V353" s="63">
        <f>-capex_ship2*10^6+$G243+NPV(dr_hi_ship2,$H243:V243)</f>
        <v>0</v>
      </c>
      <c r="W353" s="63">
        <f>-capex_ship2*10^6+$G243+NPV(dr_hi_ship2,$H243:W243)</f>
        <v>0</v>
      </c>
      <c r="X353" s="63">
        <f>-capex_ship2*10^6+$G243+NPV(dr_hi_ship2,$H243:X243)</f>
        <v>0</v>
      </c>
      <c r="Y353" s="63">
        <f>-capex_ship2*10^6+$G243+NPV(dr_hi_ship2,$H243:Y243)</f>
        <v>0</v>
      </c>
      <c r="Z353" s="63">
        <f>-capex_ship2*10^6+$G243+NPV(dr_hi_ship2,$H243:Z243)</f>
        <v>0</v>
      </c>
    </row>
    <row r="354" spans="1:26" x14ac:dyDescent="0.2">
      <c r="A354" s="248"/>
      <c r="B354" s="248">
        <f>ship3</f>
        <v>0</v>
      </c>
      <c r="C354" s="30" t="s">
        <v>17</v>
      </c>
      <c r="D354" s="56" t="e">
        <f>NA()</f>
        <v>#N/A</v>
      </c>
      <c r="E354" s="56" t="e">
        <f>NA()</f>
        <v>#N/A</v>
      </c>
      <c r="F354" s="56" t="e">
        <f>NA()</f>
        <v>#N/A</v>
      </c>
      <c r="G354" s="56">
        <f>-capex_ship3*10^6+$G244</f>
        <v>0</v>
      </c>
      <c r="H354" s="56">
        <f>-capex_ship3*10^6+$G244+NPV(dr_lo_ship3,$H244:H244)</f>
        <v>0</v>
      </c>
      <c r="I354" s="56">
        <f>-capex_ship3*10^6+$G244+NPV(dr_lo_ship3,$H244:I244)</f>
        <v>0</v>
      </c>
      <c r="J354" s="56">
        <f>-capex_ship3*10^6+$G244+NPV(dr_lo_ship3,$H244:J244)</f>
        <v>0</v>
      </c>
      <c r="K354" s="56">
        <f>-capex_ship3*10^6+$G244+NPV(dr_lo_ship3,$H244:K244)</f>
        <v>0</v>
      </c>
      <c r="L354" s="56">
        <f>-capex_ship3*10^6+$G244+NPV(dr_lo_ship3,$H244:L244)</f>
        <v>0</v>
      </c>
      <c r="M354" s="56">
        <f>-capex_ship3*10^6+$G244+NPV(dr_lo_ship3,$H244:M244)</f>
        <v>0</v>
      </c>
      <c r="N354" s="56">
        <f>-capex_ship3*10^6+$G244+NPV(dr_lo_ship3,$H244:N244)</f>
        <v>0</v>
      </c>
      <c r="O354" s="56">
        <f>-capex_ship3*10^6+$G244+NPV(dr_lo_ship3,$H244:O244)</f>
        <v>0</v>
      </c>
      <c r="P354" s="56">
        <f>-capex_ship3*10^6+$G244+NPV(dr_lo_ship3,$H244:P244)</f>
        <v>0</v>
      </c>
      <c r="Q354" s="56">
        <f>-capex_ship3*10^6+$G244+NPV(dr_lo_ship3,$H244:Q244)</f>
        <v>0</v>
      </c>
      <c r="R354" s="56">
        <f>-capex_ship3*10^6+$G244+NPV(dr_lo_ship3,$H244:R244)</f>
        <v>0</v>
      </c>
      <c r="S354" s="56">
        <f>-capex_ship3*10^6+$G244+NPV(dr_lo_ship3,$H244:S244)</f>
        <v>0</v>
      </c>
      <c r="T354" s="56">
        <f>-capex_ship3*10^6+$G244+NPV(dr_lo_ship3,$H244:T244)</f>
        <v>0</v>
      </c>
      <c r="U354" s="56">
        <f>-capex_ship3*10^6+$G244+NPV(dr_lo_ship3,$H244:U244)</f>
        <v>0</v>
      </c>
      <c r="V354" s="56">
        <f>-capex_ship3*10^6+$G244+NPV(dr_lo_ship3,$H244:V244)</f>
        <v>0</v>
      </c>
      <c r="W354" s="56">
        <f>-capex_ship3*10^6+$G244+NPV(dr_lo_ship3,$H244:W244)</f>
        <v>0</v>
      </c>
      <c r="X354" s="56">
        <f>-capex_ship3*10^6+$G244+NPV(dr_lo_ship3,$H244:X244)</f>
        <v>0</v>
      </c>
      <c r="Y354" s="56">
        <f>-capex_ship3*10^6+$G244+NPV(dr_lo_ship3,$H244:Y244)</f>
        <v>0</v>
      </c>
      <c r="Z354" s="56">
        <f>-capex_ship3*10^6+$G244+NPV(dr_lo_ship3,$H244:Z244)</f>
        <v>0</v>
      </c>
    </row>
    <row r="355" spans="1:26" x14ac:dyDescent="0.2">
      <c r="A355" s="248"/>
      <c r="B355" s="248"/>
      <c r="C355" s="30" t="s">
        <v>18</v>
      </c>
      <c r="D355" s="60" t="e">
        <f>NA()</f>
        <v>#N/A</v>
      </c>
      <c r="E355" s="60" t="e">
        <f>NA()</f>
        <v>#N/A</v>
      </c>
      <c r="F355" s="60" t="e">
        <f>NA()</f>
        <v>#N/A</v>
      </c>
      <c r="G355" s="60">
        <f>-capex_ship3*10^6+$G245</f>
        <v>0</v>
      </c>
      <c r="H355" s="60">
        <f>-capex_ship3*10^6+$G245+NPV(dr_med_ship3,$H245:H245)</f>
        <v>0</v>
      </c>
      <c r="I355" s="60">
        <f>-capex_ship3*10^6+$G245+NPV(dr_med_ship3,$H245:I245)</f>
        <v>0</v>
      </c>
      <c r="J355" s="60">
        <f>-capex_ship3*10^6+$G245+NPV(dr_med_ship3,$H245:J245)</f>
        <v>0</v>
      </c>
      <c r="K355" s="60">
        <f>-capex_ship3*10^6+$G245+NPV(dr_med_ship3,$H245:K245)</f>
        <v>0</v>
      </c>
      <c r="L355" s="60">
        <f>-capex_ship3*10^6+$G245+NPV(dr_med_ship3,$H245:L245)</f>
        <v>0</v>
      </c>
      <c r="M355" s="60">
        <f>-capex_ship3*10^6+$G245+NPV(dr_med_ship3,$H245:M245)</f>
        <v>0</v>
      </c>
      <c r="N355" s="60">
        <f>-capex_ship3*10^6+$G245+NPV(dr_med_ship3,$H245:N245)</f>
        <v>0</v>
      </c>
      <c r="O355" s="60">
        <f>-capex_ship3*10^6+$G245+NPV(dr_med_ship3,$H245:O245)</f>
        <v>0</v>
      </c>
      <c r="P355" s="60">
        <f>-capex_ship3*10^6+$G245+NPV(dr_med_ship3,$H245:P245)</f>
        <v>0</v>
      </c>
      <c r="Q355" s="60">
        <f>-capex_ship3*10^6+$G245+NPV(dr_med_ship3,$H245:Q245)</f>
        <v>0</v>
      </c>
      <c r="R355" s="60">
        <f>-capex_ship3*10^6+$G245+NPV(dr_med_ship3,$H245:R245)</f>
        <v>0</v>
      </c>
      <c r="S355" s="60">
        <f>-capex_ship3*10^6+$G245+NPV(dr_med_ship3,$H245:S245)</f>
        <v>0</v>
      </c>
      <c r="T355" s="60">
        <f>-capex_ship3*10^6+$G245+NPV(dr_med_ship3,$H245:T245)</f>
        <v>0</v>
      </c>
      <c r="U355" s="60">
        <f>-capex_ship3*10^6+$G245+NPV(dr_med_ship3,$H245:U245)</f>
        <v>0</v>
      </c>
      <c r="V355" s="60">
        <f>-capex_ship3*10^6+$G245+NPV(dr_med_ship3,$H245:V245)</f>
        <v>0</v>
      </c>
      <c r="W355" s="60">
        <f>-capex_ship3*10^6+$G245+NPV(dr_med_ship3,$H245:W245)</f>
        <v>0</v>
      </c>
      <c r="X355" s="60">
        <f>-capex_ship3*10^6+$G245+NPV(dr_med_ship3,$H245:X245)</f>
        <v>0</v>
      </c>
      <c r="Y355" s="60">
        <f>-capex_ship3*10^6+$G245+NPV(dr_med_ship3,$H245:Y245)</f>
        <v>0</v>
      </c>
      <c r="Z355" s="60">
        <f>-capex_ship3*10^6+$G245+NPV(dr_med_ship3,$H245:Z245)</f>
        <v>0</v>
      </c>
    </row>
    <row r="356" spans="1:26" x14ac:dyDescent="0.2">
      <c r="A356" s="248"/>
      <c r="B356" s="248"/>
      <c r="C356" s="30" t="s">
        <v>19</v>
      </c>
      <c r="D356" s="63" t="e">
        <f>NA()</f>
        <v>#N/A</v>
      </c>
      <c r="E356" s="63" t="e">
        <f>NA()</f>
        <v>#N/A</v>
      </c>
      <c r="F356" s="63" t="e">
        <f>NA()</f>
        <v>#N/A</v>
      </c>
      <c r="G356" s="63">
        <f>-capex_ship3*10^6+$G246</f>
        <v>0</v>
      </c>
      <c r="H356" s="63">
        <f>-capex_ship3*10^6+$G246+NPV(dr_hi_ship3,$H246:H246)</f>
        <v>0</v>
      </c>
      <c r="I356" s="63">
        <f>-capex_ship3*10^6+$G246+NPV(dr_hi_ship3,$H246:I246)</f>
        <v>0</v>
      </c>
      <c r="J356" s="63">
        <f>-capex_ship3*10^6+$G246+NPV(dr_hi_ship3,$H246:J246)</f>
        <v>0</v>
      </c>
      <c r="K356" s="63">
        <f>-capex_ship3*10^6+$G246+NPV(dr_hi_ship3,$H246:K246)</f>
        <v>0</v>
      </c>
      <c r="L356" s="63">
        <f>-capex_ship3*10^6+$G246+NPV(dr_hi_ship3,$H246:L246)</f>
        <v>0</v>
      </c>
      <c r="M356" s="63">
        <f>-capex_ship3*10^6+$G246+NPV(dr_hi_ship3,$H246:M246)</f>
        <v>0</v>
      </c>
      <c r="N356" s="63">
        <f>-capex_ship3*10^6+$G246+NPV(dr_hi_ship3,$H246:N246)</f>
        <v>0</v>
      </c>
      <c r="O356" s="63">
        <f>-capex_ship3*10^6+$G246+NPV(dr_hi_ship3,$H246:O246)</f>
        <v>0</v>
      </c>
      <c r="P356" s="63">
        <f>-capex_ship3*10^6+$G246+NPV(dr_hi_ship3,$H246:P246)</f>
        <v>0</v>
      </c>
      <c r="Q356" s="63">
        <f>-capex_ship3*10^6+$G246+NPV(dr_hi_ship3,$H246:Q246)</f>
        <v>0</v>
      </c>
      <c r="R356" s="63">
        <f>-capex_ship3*10^6+$G246+NPV(dr_hi_ship3,$H246:R246)</f>
        <v>0</v>
      </c>
      <c r="S356" s="63">
        <f>-capex_ship3*10^6+$G246+NPV(dr_hi_ship3,$H246:S246)</f>
        <v>0</v>
      </c>
      <c r="T356" s="63">
        <f>-capex_ship3*10^6+$G246+NPV(dr_hi_ship3,$H246:T246)</f>
        <v>0</v>
      </c>
      <c r="U356" s="63">
        <f>-capex_ship3*10^6+$G246+NPV(dr_hi_ship3,$H246:U246)</f>
        <v>0</v>
      </c>
      <c r="V356" s="63">
        <f>-capex_ship3*10^6+$G246+NPV(dr_hi_ship3,$H246:V246)</f>
        <v>0</v>
      </c>
      <c r="W356" s="63">
        <f>-capex_ship3*10^6+$G246+NPV(dr_hi_ship3,$H246:W246)</f>
        <v>0</v>
      </c>
      <c r="X356" s="63">
        <f>-capex_ship3*10^6+$G246+NPV(dr_hi_ship3,$H246:X246)</f>
        <v>0</v>
      </c>
      <c r="Y356" s="63">
        <f>-capex_ship3*10^6+$G246+NPV(dr_hi_ship3,$H246:Y246)</f>
        <v>0</v>
      </c>
      <c r="Z356" s="63">
        <f>-capex_ship3*10^6+$G246+NPV(dr_hi_ship3,$H246:Z246)</f>
        <v>0</v>
      </c>
    </row>
    <row r="357" spans="1:26" x14ac:dyDescent="0.2">
      <c r="A357" s="248"/>
      <c r="B357" s="248">
        <f>ship4</f>
        <v>0</v>
      </c>
      <c r="C357" s="30" t="s">
        <v>17</v>
      </c>
      <c r="D357" s="56" t="e">
        <f>NA()</f>
        <v>#N/A</v>
      </c>
      <c r="E357" s="56" t="e">
        <f>NA()</f>
        <v>#N/A</v>
      </c>
      <c r="F357" s="56" t="e">
        <f>NA()</f>
        <v>#N/A</v>
      </c>
      <c r="G357" s="56">
        <f>-capex_ship4*10^6+$G247</f>
        <v>0</v>
      </c>
      <c r="H357" s="56">
        <f>-capex_ship4*10^6+$G247+NPV(dr_lo_ship4,$H247:H247)</f>
        <v>0</v>
      </c>
      <c r="I357" s="56">
        <f>-capex_ship4*10^6+$G247+NPV(dr_lo_ship4,$H247:I247)</f>
        <v>0</v>
      </c>
      <c r="J357" s="56">
        <f>-capex_ship4*10^6+$G247+NPV(dr_lo_ship4,$H247:J247)</f>
        <v>0</v>
      </c>
      <c r="K357" s="56">
        <f>-capex_ship4*10^6+$G247+NPV(dr_lo_ship4,$H247:K247)</f>
        <v>0</v>
      </c>
      <c r="L357" s="56">
        <f>-capex_ship4*10^6+$G247+NPV(dr_lo_ship4,$H247:L247)</f>
        <v>0</v>
      </c>
      <c r="M357" s="56">
        <f>-capex_ship4*10^6+$G247+NPV(dr_lo_ship4,$H247:M247)</f>
        <v>0</v>
      </c>
      <c r="N357" s="56">
        <f>-capex_ship4*10^6+$G247+NPV(dr_lo_ship4,$H247:N247)</f>
        <v>0</v>
      </c>
      <c r="O357" s="56">
        <f>-capex_ship4*10^6+$G247+NPV(dr_lo_ship4,$H247:O247)</f>
        <v>0</v>
      </c>
      <c r="P357" s="56">
        <f>-capex_ship4*10^6+$G247+NPV(dr_lo_ship4,$H247:P247)</f>
        <v>0</v>
      </c>
      <c r="Q357" s="56">
        <f>-capex_ship4*10^6+$G247+NPV(dr_lo_ship4,$H247:Q247)</f>
        <v>0</v>
      </c>
      <c r="R357" s="56">
        <f>-capex_ship4*10^6+$G247+NPV(dr_lo_ship4,$H247:R247)</f>
        <v>0</v>
      </c>
      <c r="S357" s="56">
        <f>-capex_ship4*10^6+$G247+NPV(dr_lo_ship4,$H247:S247)</f>
        <v>0</v>
      </c>
      <c r="T357" s="56">
        <f>-capex_ship4*10^6+$G247+NPV(dr_lo_ship4,$H247:T247)</f>
        <v>0</v>
      </c>
      <c r="U357" s="56">
        <f>-capex_ship4*10^6+$G247+NPV(dr_lo_ship4,$H247:U247)</f>
        <v>0</v>
      </c>
      <c r="V357" s="56">
        <f>-capex_ship4*10^6+$G247+NPV(dr_lo_ship4,$H247:V247)</f>
        <v>0</v>
      </c>
      <c r="W357" s="56">
        <f>-capex_ship4*10^6+$G247+NPV(dr_lo_ship4,$H247:W247)</f>
        <v>0</v>
      </c>
      <c r="X357" s="56">
        <f>-capex_ship4*10^6+$G247+NPV(dr_lo_ship4,$H247:X247)</f>
        <v>0</v>
      </c>
      <c r="Y357" s="56">
        <f>-capex_ship4*10^6+$G247+NPV(dr_lo_ship4,$H247:Y247)</f>
        <v>0</v>
      </c>
      <c r="Z357" s="56">
        <f>-capex_ship4*10^6+$G247+NPV(dr_lo_ship4,$H247:Z247)</f>
        <v>0</v>
      </c>
    </row>
    <row r="358" spans="1:26" x14ac:dyDescent="0.2">
      <c r="A358" s="248"/>
      <c r="B358" s="248"/>
      <c r="C358" s="30" t="s">
        <v>18</v>
      </c>
      <c r="D358" s="60" t="e">
        <f>NA()</f>
        <v>#N/A</v>
      </c>
      <c r="E358" s="60" t="e">
        <f>NA()</f>
        <v>#N/A</v>
      </c>
      <c r="F358" s="60" t="e">
        <f>NA()</f>
        <v>#N/A</v>
      </c>
      <c r="G358" s="60">
        <f>-capex_ship4*10^6+$G248</f>
        <v>0</v>
      </c>
      <c r="H358" s="60">
        <f>-capex_ship4*10^6+$G248+NPV(dr_med_ship4,$H248:H248)</f>
        <v>0</v>
      </c>
      <c r="I358" s="60">
        <f>-capex_ship4*10^6+$G248+NPV(dr_med_ship4,$H248:I248)</f>
        <v>0</v>
      </c>
      <c r="J358" s="60">
        <f>-capex_ship4*10^6+$G248+NPV(dr_med_ship4,$H248:J248)</f>
        <v>0</v>
      </c>
      <c r="K358" s="60">
        <f>-capex_ship4*10^6+$G248+NPV(dr_med_ship4,$H248:K248)</f>
        <v>0</v>
      </c>
      <c r="L358" s="60">
        <f>-capex_ship4*10^6+$G248+NPV(dr_med_ship4,$H248:L248)</f>
        <v>0</v>
      </c>
      <c r="M358" s="60">
        <f>-capex_ship4*10^6+$G248+NPV(dr_med_ship4,$H248:M248)</f>
        <v>0</v>
      </c>
      <c r="N358" s="60">
        <f>-capex_ship4*10^6+$G248+NPV(dr_med_ship4,$H248:N248)</f>
        <v>0</v>
      </c>
      <c r="O358" s="60">
        <f>-capex_ship4*10^6+$G248+NPV(dr_med_ship4,$H248:O248)</f>
        <v>0</v>
      </c>
      <c r="P358" s="60">
        <f>-capex_ship4*10^6+$G248+NPV(dr_med_ship4,$H248:P248)</f>
        <v>0</v>
      </c>
      <c r="Q358" s="60">
        <f>-capex_ship4*10^6+$G248+NPV(dr_med_ship4,$H248:Q248)</f>
        <v>0</v>
      </c>
      <c r="R358" s="60">
        <f>-capex_ship4*10^6+$G248+NPV(dr_med_ship4,$H248:R248)</f>
        <v>0</v>
      </c>
      <c r="S358" s="60">
        <f>-capex_ship4*10^6+$G248+NPV(dr_med_ship4,$H248:S248)</f>
        <v>0</v>
      </c>
      <c r="T358" s="60">
        <f>-capex_ship4*10^6+$G248+NPV(dr_med_ship4,$H248:T248)</f>
        <v>0</v>
      </c>
      <c r="U358" s="60">
        <f>-capex_ship4*10^6+$G248+NPV(dr_med_ship4,$H248:U248)</f>
        <v>0</v>
      </c>
      <c r="V358" s="60">
        <f>-capex_ship4*10^6+$G248+NPV(dr_med_ship4,$H248:V248)</f>
        <v>0</v>
      </c>
      <c r="W358" s="60">
        <f>-capex_ship4*10^6+$G248+NPV(dr_med_ship4,$H248:W248)</f>
        <v>0</v>
      </c>
      <c r="X358" s="60">
        <f>-capex_ship4*10^6+$G248+NPV(dr_med_ship4,$H248:X248)</f>
        <v>0</v>
      </c>
      <c r="Y358" s="60">
        <f>-capex_ship4*10^6+$G248+NPV(dr_med_ship4,$H248:Y248)</f>
        <v>0</v>
      </c>
      <c r="Z358" s="60">
        <f>-capex_ship4*10^6+$G248+NPV(dr_med_ship4,$H248:Z248)</f>
        <v>0</v>
      </c>
    </row>
    <row r="359" spans="1:26" x14ac:dyDescent="0.2">
      <c r="A359" s="248"/>
      <c r="B359" s="248"/>
      <c r="C359" s="30" t="s">
        <v>19</v>
      </c>
      <c r="D359" s="63" t="e">
        <f>NA()</f>
        <v>#N/A</v>
      </c>
      <c r="E359" s="63" t="e">
        <f>NA()</f>
        <v>#N/A</v>
      </c>
      <c r="F359" s="63" t="e">
        <f>NA()</f>
        <v>#N/A</v>
      </c>
      <c r="G359" s="63">
        <f>-capex_ship4*10^6+$G249</f>
        <v>0</v>
      </c>
      <c r="H359" s="63">
        <f>-capex_ship4*10^6+$G249+NPV(dr_hi_ship4,$H249:H249)</f>
        <v>0</v>
      </c>
      <c r="I359" s="63">
        <f>-capex_ship4*10^6+$G249+NPV(dr_hi_ship4,$H249:I249)</f>
        <v>0</v>
      </c>
      <c r="J359" s="63">
        <f>-capex_ship4*10^6+$G249+NPV(dr_hi_ship4,$H249:J249)</f>
        <v>0</v>
      </c>
      <c r="K359" s="63">
        <f>-capex_ship4*10^6+$G249+NPV(dr_hi_ship4,$H249:K249)</f>
        <v>0</v>
      </c>
      <c r="L359" s="63">
        <f>-capex_ship4*10^6+$G249+NPV(dr_hi_ship4,$H249:L249)</f>
        <v>0</v>
      </c>
      <c r="M359" s="63">
        <f>-capex_ship4*10^6+$G249+NPV(dr_hi_ship4,$H249:M249)</f>
        <v>0</v>
      </c>
      <c r="N359" s="63">
        <f>-capex_ship4*10^6+$G249+NPV(dr_hi_ship4,$H249:N249)</f>
        <v>0</v>
      </c>
      <c r="O359" s="63">
        <f>-capex_ship4*10^6+$G249+NPV(dr_hi_ship4,$H249:O249)</f>
        <v>0</v>
      </c>
      <c r="P359" s="63">
        <f>-capex_ship4*10^6+$G249+NPV(dr_hi_ship4,$H249:P249)</f>
        <v>0</v>
      </c>
      <c r="Q359" s="63">
        <f>-capex_ship4*10^6+$G249+NPV(dr_hi_ship4,$H249:Q249)</f>
        <v>0</v>
      </c>
      <c r="R359" s="63">
        <f>-capex_ship4*10^6+$G249+NPV(dr_hi_ship4,$H249:R249)</f>
        <v>0</v>
      </c>
      <c r="S359" s="63">
        <f>-capex_ship4*10^6+$G249+NPV(dr_hi_ship4,$H249:S249)</f>
        <v>0</v>
      </c>
      <c r="T359" s="63">
        <f>-capex_ship4*10^6+$G249+NPV(dr_hi_ship4,$H249:T249)</f>
        <v>0</v>
      </c>
      <c r="U359" s="63">
        <f>-capex_ship4*10^6+$G249+NPV(dr_hi_ship4,$H249:U249)</f>
        <v>0</v>
      </c>
      <c r="V359" s="63">
        <f>-capex_ship4*10^6+$G249+NPV(dr_hi_ship4,$H249:V249)</f>
        <v>0</v>
      </c>
      <c r="W359" s="63">
        <f>-capex_ship4*10^6+$G249+NPV(dr_hi_ship4,$H249:W249)</f>
        <v>0</v>
      </c>
      <c r="X359" s="63">
        <f>-capex_ship4*10^6+$G249+NPV(dr_hi_ship4,$H249:X249)</f>
        <v>0</v>
      </c>
      <c r="Y359" s="63">
        <f>-capex_ship4*10^6+$G249+NPV(dr_hi_ship4,$H249:Y249)</f>
        <v>0</v>
      </c>
      <c r="Z359" s="63">
        <f>-capex_ship4*10^6+$G249+NPV(dr_hi_ship4,$H249:Z249)</f>
        <v>0</v>
      </c>
    </row>
    <row r="360" spans="1:26" x14ac:dyDescent="0.2">
      <c r="A360" s="248"/>
      <c r="B360" s="248">
        <f>ship5</f>
        <v>0</v>
      </c>
      <c r="C360" s="30" t="s">
        <v>17</v>
      </c>
      <c r="D360" s="56" t="e">
        <f>NA()</f>
        <v>#N/A</v>
      </c>
      <c r="E360" s="56" t="e">
        <f>NA()</f>
        <v>#N/A</v>
      </c>
      <c r="F360" s="56" t="e">
        <f>NA()</f>
        <v>#N/A</v>
      </c>
      <c r="G360" s="56">
        <f>-capex_ship5*10^6+$G250</f>
        <v>0</v>
      </c>
      <c r="H360" s="56">
        <f>-capex_ship5*10^6+$G250+NPV(dr_lo_ship5,$H250:H250)</f>
        <v>0</v>
      </c>
      <c r="I360" s="56">
        <f>-capex_ship5*10^6+$G250+NPV(dr_lo_ship5,$H250:I250)</f>
        <v>0</v>
      </c>
      <c r="J360" s="56">
        <f>-capex_ship5*10^6+$G250+NPV(dr_lo_ship5,$H250:J250)</f>
        <v>0</v>
      </c>
      <c r="K360" s="56">
        <f>-capex_ship5*10^6+$G250+NPV(dr_lo_ship5,$H250:K250)</f>
        <v>0</v>
      </c>
      <c r="L360" s="56">
        <f>-capex_ship5*10^6+$G250+NPV(dr_lo_ship5,$H250:L250)</f>
        <v>0</v>
      </c>
      <c r="M360" s="56">
        <f>-capex_ship5*10^6+$G250+NPV(dr_lo_ship5,$H250:M250)</f>
        <v>0</v>
      </c>
      <c r="N360" s="56">
        <f>-capex_ship5*10^6+$G250+NPV(dr_lo_ship5,$H250:N250)</f>
        <v>0</v>
      </c>
      <c r="O360" s="56">
        <f>-capex_ship5*10^6+$G250+NPV(dr_lo_ship5,$H250:O250)</f>
        <v>0</v>
      </c>
      <c r="P360" s="56">
        <f>-capex_ship5*10^6+$G250+NPV(dr_lo_ship5,$H250:P250)</f>
        <v>0</v>
      </c>
      <c r="Q360" s="56">
        <f>-capex_ship5*10^6+$G250+NPV(dr_lo_ship5,$H250:Q250)</f>
        <v>0</v>
      </c>
      <c r="R360" s="56">
        <f>-capex_ship5*10^6+$G250+NPV(dr_lo_ship5,$H250:R250)</f>
        <v>0</v>
      </c>
      <c r="S360" s="56">
        <f>-capex_ship5*10^6+$G250+NPV(dr_lo_ship5,$H250:S250)</f>
        <v>0</v>
      </c>
      <c r="T360" s="56">
        <f>-capex_ship5*10^6+$G250+NPV(dr_lo_ship5,$H250:T250)</f>
        <v>0</v>
      </c>
      <c r="U360" s="56">
        <f>-capex_ship5*10^6+$G250+NPV(dr_lo_ship5,$H250:U250)</f>
        <v>0</v>
      </c>
      <c r="V360" s="56">
        <f>-capex_ship5*10^6+$G250+NPV(dr_lo_ship5,$H250:V250)</f>
        <v>0</v>
      </c>
      <c r="W360" s="56">
        <f>-capex_ship5*10^6+$G250+NPV(dr_lo_ship5,$H250:W250)</f>
        <v>0</v>
      </c>
      <c r="X360" s="56">
        <f>-capex_ship5*10^6+$G250+NPV(dr_lo_ship5,$H250:X250)</f>
        <v>0</v>
      </c>
      <c r="Y360" s="56">
        <f>-capex_ship5*10^6+$G250+NPV(dr_lo_ship5,$H250:Y250)</f>
        <v>0</v>
      </c>
      <c r="Z360" s="56">
        <f>-capex_ship5*10^6+$G250+NPV(dr_lo_ship5,$H250:Z250)</f>
        <v>0</v>
      </c>
    </row>
    <row r="361" spans="1:26" x14ac:dyDescent="0.2">
      <c r="A361" s="248"/>
      <c r="B361" s="248"/>
      <c r="C361" s="30" t="s">
        <v>18</v>
      </c>
      <c r="D361" s="60" t="e">
        <f>NA()</f>
        <v>#N/A</v>
      </c>
      <c r="E361" s="60" t="e">
        <f>NA()</f>
        <v>#N/A</v>
      </c>
      <c r="F361" s="60" t="e">
        <f>NA()</f>
        <v>#N/A</v>
      </c>
      <c r="G361" s="60">
        <f>-capex_ship5*10^6+$G251</f>
        <v>0</v>
      </c>
      <c r="H361" s="60">
        <f>-capex_ship5*10^6+$G251+NPV(dr_med_ship5,$H251:H251)</f>
        <v>0</v>
      </c>
      <c r="I361" s="60">
        <f>-capex_ship5*10^6+$G251+NPV(dr_med_ship5,$H251:I251)</f>
        <v>0</v>
      </c>
      <c r="J361" s="60">
        <f>-capex_ship5*10^6+$G251+NPV(dr_med_ship5,$H251:J251)</f>
        <v>0</v>
      </c>
      <c r="K361" s="60">
        <f>-capex_ship5*10^6+$G251+NPV(dr_med_ship5,$H251:K251)</f>
        <v>0</v>
      </c>
      <c r="L361" s="60">
        <f>-capex_ship5*10^6+$G251+NPV(dr_med_ship5,$H251:L251)</f>
        <v>0</v>
      </c>
      <c r="M361" s="60">
        <f>-capex_ship5*10^6+$G251+NPV(dr_med_ship5,$H251:M251)</f>
        <v>0</v>
      </c>
      <c r="N361" s="60">
        <f>-capex_ship5*10^6+$G251+NPV(dr_med_ship5,$H251:N251)</f>
        <v>0</v>
      </c>
      <c r="O361" s="60">
        <f>-capex_ship5*10^6+$G251+NPV(dr_med_ship5,$H251:O251)</f>
        <v>0</v>
      </c>
      <c r="P361" s="60">
        <f>-capex_ship5*10^6+$G251+NPV(dr_med_ship5,$H251:P251)</f>
        <v>0</v>
      </c>
      <c r="Q361" s="60">
        <f>-capex_ship5*10^6+$G251+NPV(dr_med_ship5,$H251:Q251)</f>
        <v>0</v>
      </c>
      <c r="R361" s="60">
        <f>-capex_ship5*10^6+$G251+NPV(dr_med_ship5,$H251:R251)</f>
        <v>0</v>
      </c>
      <c r="S361" s="60">
        <f>-capex_ship5*10^6+$G251+NPV(dr_med_ship5,$H251:S251)</f>
        <v>0</v>
      </c>
      <c r="T361" s="60">
        <f>-capex_ship5*10^6+$G251+NPV(dr_med_ship5,$H251:T251)</f>
        <v>0</v>
      </c>
      <c r="U361" s="60">
        <f>-capex_ship5*10^6+$G251+NPV(dr_med_ship5,$H251:U251)</f>
        <v>0</v>
      </c>
      <c r="V361" s="60">
        <f>-capex_ship5*10^6+$G251+NPV(dr_med_ship5,$H251:V251)</f>
        <v>0</v>
      </c>
      <c r="W361" s="60">
        <f>-capex_ship5*10^6+$G251+NPV(dr_med_ship5,$H251:W251)</f>
        <v>0</v>
      </c>
      <c r="X361" s="60">
        <f>-capex_ship5*10^6+$G251+NPV(dr_med_ship5,$H251:X251)</f>
        <v>0</v>
      </c>
      <c r="Y361" s="60">
        <f>-capex_ship5*10^6+$G251+NPV(dr_med_ship5,$H251:Y251)</f>
        <v>0</v>
      </c>
      <c r="Z361" s="60">
        <f>-capex_ship5*10^6+$G251+NPV(dr_med_ship5,$H251:Z251)</f>
        <v>0</v>
      </c>
    </row>
    <row r="362" spans="1:26" x14ac:dyDescent="0.2">
      <c r="A362" s="248"/>
      <c r="B362" s="248"/>
      <c r="C362" s="30" t="s">
        <v>19</v>
      </c>
      <c r="D362" s="63" t="e">
        <f>NA()</f>
        <v>#N/A</v>
      </c>
      <c r="E362" s="63" t="e">
        <f>NA()</f>
        <v>#N/A</v>
      </c>
      <c r="F362" s="63" t="e">
        <f>NA()</f>
        <v>#N/A</v>
      </c>
      <c r="G362" s="63">
        <f>-capex_ship5*10^6+$G252</f>
        <v>0</v>
      </c>
      <c r="H362" s="63">
        <f>-capex_ship5*10^6+$G252+NPV(dr_hi_ship5,$H252:H252)</f>
        <v>0</v>
      </c>
      <c r="I362" s="63">
        <f>-capex_ship5*10^6+$G252+NPV(dr_hi_ship5,$H252:I252)</f>
        <v>0</v>
      </c>
      <c r="J362" s="63">
        <f>-capex_ship5*10^6+$G252+NPV(dr_hi_ship5,$H252:J252)</f>
        <v>0</v>
      </c>
      <c r="K362" s="63">
        <f>-capex_ship5*10^6+$G252+NPV(dr_hi_ship5,$H252:K252)</f>
        <v>0</v>
      </c>
      <c r="L362" s="63">
        <f>-capex_ship5*10^6+$G252+NPV(dr_hi_ship5,$H252:L252)</f>
        <v>0</v>
      </c>
      <c r="M362" s="63">
        <f>-capex_ship5*10^6+$G252+NPV(dr_hi_ship5,$H252:M252)</f>
        <v>0</v>
      </c>
      <c r="N362" s="63">
        <f>-capex_ship5*10^6+$G252+NPV(dr_hi_ship5,$H252:N252)</f>
        <v>0</v>
      </c>
      <c r="O362" s="63">
        <f>-capex_ship5*10^6+$G252+NPV(dr_hi_ship5,$H252:O252)</f>
        <v>0</v>
      </c>
      <c r="P362" s="63">
        <f>-capex_ship5*10^6+$G252+NPV(dr_hi_ship5,$H252:P252)</f>
        <v>0</v>
      </c>
      <c r="Q362" s="63">
        <f>-capex_ship5*10^6+$G252+NPV(dr_hi_ship5,$H252:Q252)</f>
        <v>0</v>
      </c>
      <c r="R362" s="63">
        <f>-capex_ship5*10^6+$G252+NPV(dr_hi_ship5,$H252:R252)</f>
        <v>0</v>
      </c>
      <c r="S362" s="63">
        <f>-capex_ship5*10^6+$G252+NPV(dr_hi_ship5,$H252:S252)</f>
        <v>0</v>
      </c>
      <c r="T362" s="63">
        <f>-capex_ship5*10^6+$G252+NPV(dr_hi_ship5,$H252:T252)</f>
        <v>0</v>
      </c>
      <c r="U362" s="63">
        <f>-capex_ship5*10^6+$G252+NPV(dr_hi_ship5,$H252:U252)</f>
        <v>0</v>
      </c>
      <c r="V362" s="63">
        <f>-capex_ship5*10^6+$G252+NPV(dr_hi_ship5,$H252:V252)</f>
        <v>0</v>
      </c>
      <c r="W362" s="63">
        <f>-capex_ship5*10^6+$G252+NPV(dr_hi_ship5,$H252:W252)</f>
        <v>0</v>
      </c>
      <c r="X362" s="63">
        <f>-capex_ship5*10^6+$G252+NPV(dr_hi_ship5,$H252:X252)</f>
        <v>0</v>
      </c>
      <c r="Y362" s="63">
        <f>-capex_ship5*10^6+$G252+NPV(dr_hi_ship5,$H252:Y252)</f>
        <v>0</v>
      </c>
      <c r="Z362" s="63">
        <f>-capex_ship5*10^6+$G252+NPV(dr_hi_ship5,$H252:Z252)</f>
        <v>0</v>
      </c>
    </row>
    <row r="363" spans="1:26" x14ac:dyDescent="0.2">
      <c r="A363" s="248"/>
      <c r="B363" s="248">
        <f>ship6</f>
        <v>0</v>
      </c>
      <c r="C363" s="30" t="s">
        <v>17</v>
      </c>
      <c r="D363" s="56" t="e">
        <f>NA()</f>
        <v>#N/A</v>
      </c>
      <c r="E363" s="56" t="e">
        <f>NA()</f>
        <v>#N/A</v>
      </c>
      <c r="F363" s="56" t="e">
        <f>NA()</f>
        <v>#N/A</v>
      </c>
      <c r="G363" s="56">
        <f>-capex_ship6*10^6+$G253</f>
        <v>0</v>
      </c>
      <c r="H363" s="56">
        <f>-capex_ship6*10^6+$G253+NPV(dr_lo_ship6,$H253:H253)</f>
        <v>0</v>
      </c>
      <c r="I363" s="56">
        <f>-capex_ship6*10^6+$G253+NPV(dr_lo_ship6,$H253:I253)</f>
        <v>0</v>
      </c>
      <c r="J363" s="56">
        <f>-capex_ship6*10^6+$G253+NPV(dr_lo_ship6,$H253:J253)</f>
        <v>0</v>
      </c>
      <c r="K363" s="56">
        <f>-capex_ship6*10^6+$G253+NPV(dr_lo_ship6,$H253:K253)</f>
        <v>0</v>
      </c>
      <c r="L363" s="56">
        <f>-capex_ship6*10^6+$G253+NPV(dr_lo_ship6,$H253:L253)</f>
        <v>0</v>
      </c>
      <c r="M363" s="56">
        <f>-capex_ship6*10^6+$G253+NPV(dr_lo_ship6,$H253:M253)</f>
        <v>0</v>
      </c>
      <c r="N363" s="56">
        <f>-capex_ship6*10^6+$G253+NPV(dr_lo_ship6,$H253:N253)</f>
        <v>0</v>
      </c>
      <c r="O363" s="56">
        <f>-capex_ship6*10^6+$G253+NPV(dr_lo_ship6,$H253:O253)</f>
        <v>0</v>
      </c>
      <c r="P363" s="56">
        <f>-capex_ship6*10^6+$G253+NPV(dr_lo_ship6,$H253:P253)</f>
        <v>0</v>
      </c>
      <c r="Q363" s="56">
        <f>-capex_ship6*10^6+$G253+NPV(dr_lo_ship6,$H253:Q253)</f>
        <v>0</v>
      </c>
      <c r="R363" s="56">
        <f>-capex_ship6*10^6+$G253+NPV(dr_lo_ship6,$H253:R253)</f>
        <v>0</v>
      </c>
      <c r="S363" s="56">
        <f>-capex_ship6*10^6+$G253+NPV(dr_lo_ship6,$H253:S253)</f>
        <v>0</v>
      </c>
      <c r="T363" s="56">
        <f>-capex_ship6*10^6+$G253+NPV(dr_lo_ship6,$H253:T253)</f>
        <v>0</v>
      </c>
      <c r="U363" s="56">
        <f>-capex_ship6*10^6+$G253+NPV(dr_lo_ship6,$H253:U253)</f>
        <v>0</v>
      </c>
      <c r="V363" s="56">
        <f>-capex_ship6*10^6+$G253+NPV(dr_lo_ship6,$H253:V253)</f>
        <v>0</v>
      </c>
      <c r="W363" s="56">
        <f>-capex_ship6*10^6+$G253+NPV(dr_lo_ship6,$H253:W253)</f>
        <v>0</v>
      </c>
      <c r="X363" s="56">
        <f>-capex_ship6*10^6+$G253+NPV(dr_lo_ship6,$H253:X253)</f>
        <v>0</v>
      </c>
      <c r="Y363" s="56">
        <f>-capex_ship6*10^6+$G253+NPV(dr_lo_ship6,$H253:Y253)</f>
        <v>0</v>
      </c>
      <c r="Z363" s="56">
        <f>-capex_ship6*10^6+$G253+NPV(dr_lo_ship6,$H253:Z253)</f>
        <v>0</v>
      </c>
    </row>
    <row r="364" spans="1:26" x14ac:dyDescent="0.2">
      <c r="A364" s="248"/>
      <c r="B364" s="248"/>
      <c r="C364" s="30" t="s">
        <v>18</v>
      </c>
      <c r="D364" s="60" t="e">
        <f>NA()</f>
        <v>#N/A</v>
      </c>
      <c r="E364" s="60" t="e">
        <f>NA()</f>
        <v>#N/A</v>
      </c>
      <c r="F364" s="60" t="e">
        <f>NA()</f>
        <v>#N/A</v>
      </c>
      <c r="G364" s="60">
        <f>-capex_ship6*10^6+$G254</f>
        <v>0</v>
      </c>
      <c r="H364" s="60">
        <f>-capex_ship6*10^6+$G254+NPV(dr_med_ship6,$H254:H254)</f>
        <v>0</v>
      </c>
      <c r="I364" s="60">
        <f>-capex_ship6*10^6+$G254+NPV(dr_med_ship6,$H254:I254)</f>
        <v>0</v>
      </c>
      <c r="J364" s="60">
        <f>-capex_ship6*10^6+$G254+NPV(dr_med_ship6,$H254:J254)</f>
        <v>0</v>
      </c>
      <c r="K364" s="60">
        <f>-capex_ship6*10^6+$G254+NPV(dr_med_ship6,$H254:K254)</f>
        <v>0</v>
      </c>
      <c r="L364" s="60">
        <f>-capex_ship6*10^6+$G254+NPV(dr_med_ship6,$H254:L254)</f>
        <v>0</v>
      </c>
      <c r="M364" s="60">
        <f>-capex_ship6*10^6+$G254+NPV(dr_med_ship6,$H254:M254)</f>
        <v>0</v>
      </c>
      <c r="N364" s="60">
        <f>-capex_ship6*10^6+$G254+NPV(dr_med_ship6,$H254:N254)</f>
        <v>0</v>
      </c>
      <c r="O364" s="60">
        <f>-capex_ship6*10^6+$G254+NPV(dr_med_ship6,$H254:O254)</f>
        <v>0</v>
      </c>
      <c r="P364" s="60">
        <f>-capex_ship6*10^6+$G254+NPV(dr_med_ship6,$H254:P254)</f>
        <v>0</v>
      </c>
      <c r="Q364" s="60">
        <f>-capex_ship6*10^6+$G254+NPV(dr_med_ship6,$H254:Q254)</f>
        <v>0</v>
      </c>
      <c r="R364" s="60">
        <f>-capex_ship6*10^6+$G254+NPV(dr_med_ship6,$H254:R254)</f>
        <v>0</v>
      </c>
      <c r="S364" s="60">
        <f>-capex_ship6*10^6+$G254+NPV(dr_med_ship6,$H254:S254)</f>
        <v>0</v>
      </c>
      <c r="T364" s="60">
        <f>-capex_ship6*10^6+$G254+NPV(dr_med_ship6,$H254:T254)</f>
        <v>0</v>
      </c>
      <c r="U364" s="60">
        <f>-capex_ship6*10^6+$G254+NPV(dr_med_ship6,$H254:U254)</f>
        <v>0</v>
      </c>
      <c r="V364" s="60">
        <f>-capex_ship6*10^6+$G254+NPV(dr_med_ship6,$H254:V254)</f>
        <v>0</v>
      </c>
      <c r="W364" s="60">
        <f>-capex_ship6*10^6+$G254+NPV(dr_med_ship6,$H254:W254)</f>
        <v>0</v>
      </c>
      <c r="X364" s="60">
        <f>-capex_ship6*10^6+$G254+NPV(dr_med_ship6,$H254:X254)</f>
        <v>0</v>
      </c>
      <c r="Y364" s="60">
        <f>-capex_ship6*10^6+$G254+NPV(dr_med_ship6,$H254:Y254)</f>
        <v>0</v>
      </c>
      <c r="Z364" s="60">
        <f>-capex_ship6*10^6+$G254+NPV(dr_med_ship6,$H254:Z254)</f>
        <v>0</v>
      </c>
    </row>
    <row r="365" spans="1:26" x14ac:dyDescent="0.2">
      <c r="A365" s="248"/>
      <c r="B365" s="248"/>
      <c r="C365" s="30" t="s">
        <v>19</v>
      </c>
      <c r="D365" s="63" t="e">
        <f>NA()</f>
        <v>#N/A</v>
      </c>
      <c r="E365" s="63" t="e">
        <f>NA()</f>
        <v>#N/A</v>
      </c>
      <c r="F365" s="63" t="e">
        <f>NA()</f>
        <v>#N/A</v>
      </c>
      <c r="G365" s="63">
        <f>-capex_ship6*10^6+$G255</f>
        <v>0</v>
      </c>
      <c r="H365" s="63">
        <f>-capex_ship6*10^6+$G255+NPV(dr_hi_ship6,$H255:H255)</f>
        <v>0</v>
      </c>
      <c r="I365" s="63">
        <f>-capex_ship6*10^6+$G255+NPV(dr_hi_ship6,$H255:I255)</f>
        <v>0</v>
      </c>
      <c r="J365" s="63">
        <f>-capex_ship6*10^6+$G255+NPV(dr_hi_ship6,$H255:J255)</f>
        <v>0</v>
      </c>
      <c r="K365" s="63">
        <f>-capex_ship6*10^6+$G255+NPV(dr_hi_ship6,$H255:K255)</f>
        <v>0</v>
      </c>
      <c r="L365" s="63">
        <f>-capex_ship6*10^6+$G255+NPV(dr_hi_ship6,$H255:L255)</f>
        <v>0</v>
      </c>
      <c r="M365" s="63">
        <f>-capex_ship6*10^6+$G255+NPV(dr_hi_ship6,$H255:M255)</f>
        <v>0</v>
      </c>
      <c r="N365" s="63">
        <f>-capex_ship6*10^6+$G255+NPV(dr_hi_ship6,$H255:N255)</f>
        <v>0</v>
      </c>
      <c r="O365" s="63">
        <f>-capex_ship6*10^6+$G255+NPV(dr_hi_ship6,$H255:O255)</f>
        <v>0</v>
      </c>
      <c r="P365" s="63">
        <f>-capex_ship6*10^6+$G255+NPV(dr_hi_ship6,$H255:P255)</f>
        <v>0</v>
      </c>
      <c r="Q365" s="63">
        <f>-capex_ship6*10^6+$G255+NPV(dr_hi_ship6,$H255:Q255)</f>
        <v>0</v>
      </c>
      <c r="R365" s="63">
        <f>-capex_ship6*10^6+$G255+NPV(dr_hi_ship6,$H255:R255)</f>
        <v>0</v>
      </c>
      <c r="S365" s="63">
        <f>-capex_ship6*10^6+$G255+NPV(dr_hi_ship6,$H255:S255)</f>
        <v>0</v>
      </c>
      <c r="T365" s="63">
        <f>-capex_ship6*10^6+$G255+NPV(dr_hi_ship6,$H255:T255)</f>
        <v>0</v>
      </c>
      <c r="U365" s="63">
        <f>-capex_ship6*10^6+$G255+NPV(dr_hi_ship6,$H255:U255)</f>
        <v>0</v>
      </c>
      <c r="V365" s="63">
        <f>-capex_ship6*10^6+$G255+NPV(dr_hi_ship6,$H255:V255)</f>
        <v>0</v>
      </c>
      <c r="W365" s="63">
        <f>-capex_ship6*10^6+$G255+NPV(dr_hi_ship6,$H255:W255)</f>
        <v>0</v>
      </c>
      <c r="X365" s="63">
        <f>-capex_ship6*10^6+$G255+NPV(dr_hi_ship6,$H255:X255)</f>
        <v>0</v>
      </c>
      <c r="Y365" s="63">
        <f>-capex_ship6*10^6+$G255+NPV(dr_hi_ship6,$H255:Y255)</f>
        <v>0</v>
      </c>
      <c r="Z365" s="63">
        <f>-capex_ship6*10^6+$G255+NPV(dr_hi_ship6,$H255:Z255)</f>
        <v>0</v>
      </c>
    </row>
    <row r="366" spans="1:26" ht="12.75" customHeight="1" x14ac:dyDescent="0.2">
      <c r="A366" s="248" t="s">
        <v>117</v>
      </c>
      <c r="B366" s="248">
        <f>ship_plot</f>
        <v>0</v>
      </c>
      <c r="C366" s="30" t="s">
        <v>17</v>
      </c>
      <c r="D366" s="56" t="e">
        <f t="shared" ref="D366:Z366" si="281">IF(ship_plot=ship1,D348,IF(ship_plot=ship2,D351,IF(ship_plot=ship3,D354,IF(ship_plot=ship4,D357,IF(ship_plot=ship5,D360,IF(ship_plot=ship6,D363,"error"))))))</f>
        <v>#N/A</v>
      </c>
      <c r="E366" s="56" t="e">
        <f t="shared" si="281"/>
        <v>#N/A</v>
      </c>
      <c r="F366" s="56" t="e">
        <f t="shared" si="281"/>
        <v>#N/A</v>
      </c>
      <c r="G366" s="56">
        <f t="shared" si="281"/>
        <v>0</v>
      </c>
      <c r="H366" s="56">
        <f t="shared" si="281"/>
        <v>0</v>
      </c>
      <c r="I366" s="56">
        <f t="shared" si="281"/>
        <v>0</v>
      </c>
      <c r="J366" s="56">
        <f t="shared" si="281"/>
        <v>0</v>
      </c>
      <c r="K366" s="56">
        <f t="shared" si="281"/>
        <v>0</v>
      </c>
      <c r="L366" s="56">
        <f t="shared" si="281"/>
        <v>0</v>
      </c>
      <c r="M366" s="56">
        <f t="shared" si="281"/>
        <v>0</v>
      </c>
      <c r="N366" s="56">
        <f t="shared" si="281"/>
        <v>0</v>
      </c>
      <c r="O366" s="56">
        <f t="shared" si="281"/>
        <v>0</v>
      </c>
      <c r="P366" s="56">
        <f t="shared" si="281"/>
        <v>0</v>
      </c>
      <c r="Q366" s="56">
        <f t="shared" si="281"/>
        <v>0</v>
      </c>
      <c r="R366" s="56">
        <f t="shared" si="281"/>
        <v>0</v>
      </c>
      <c r="S366" s="56">
        <f t="shared" si="281"/>
        <v>0</v>
      </c>
      <c r="T366" s="56">
        <f t="shared" si="281"/>
        <v>0</v>
      </c>
      <c r="U366" s="56">
        <f t="shared" si="281"/>
        <v>0</v>
      </c>
      <c r="V366" s="56">
        <f t="shared" si="281"/>
        <v>0</v>
      </c>
      <c r="W366" s="56">
        <f t="shared" si="281"/>
        <v>0</v>
      </c>
      <c r="X366" s="56">
        <f t="shared" si="281"/>
        <v>0</v>
      </c>
      <c r="Y366" s="56">
        <f t="shared" si="281"/>
        <v>0</v>
      </c>
      <c r="Z366" s="56">
        <f t="shared" si="281"/>
        <v>0</v>
      </c>
    </row>
    <row r="367" spans="1:26" x14ac:dyDescent="0.2">
      <c r="A367" s="248"/>
      <c r="B367" s="248"/>
      <c r="C367" s="30" t="s">
        <v>18</v>
      </c>
      <c r="D367" s="60" t="e">
        <f t="shared" ref="D367:Z367" si="282">IF(ship_plot=ship1,D349,IF(ship_plot=ship2,D352,IF(ship_plot=ship3,D355,IF(ship_plot=ship4,D358,IF(ship_plot=ship5,D361,IF(ship_plot=ship6,D364,"error"))))))</f>
        <v>#N/A</v>
      </c>
      <c r="E367" s="60" t="e">
        <f t="shared" si="282"/>
        <v>#N/A</v>
      </c>
      <c r="F367" s="60" t="e">
        <f t="shared" si="282"/>
        <v>#N/A</v>
      </c>
      <c r="G367" s="60">
        <f t="shared" si="282"/>
        <v>0</v>
      </c>
      <c r="H367" s="60">
        <f t="shared" si="282"/>
        <v>0</v>
      </c>
      <c r="I367" s="60">
        <f t="shared" si="282"/>
        <v>0</v>
      </c>
      <c r="J367" s="60">
        <f t="shared" si="282"/>
        <v>0</v>
      </c>
      <c r="K367" s="60">
        <f t="shared" si="282"/>
        <v>0</v>
      </c>
      <c r="L367" s="60">
        <f t="shared" si="282"/>
        <v>0</v>
      </c>
      <c r="M367" s="60">
        <f t="shared" si="282"/>
        <v>0</v>
      </c>
      <c r="N367" s="60">
        <f t="shared" si="282"/>
        <v>0</v>
      </c>
      <c r="O367" s="60">
        <f t="shared" si="282"/>
        <v>0</v>
      </c>
      <c r="P367" s="60">
        <f t="shared" si="282"/>
        <v>0</v>
      </c>
      <c r="Q367" s="60">
        <f t="shared" si="282"/>
        <v>0</v>
      </c>
      <c r="R367" s="60">
        <f t="shared" si="282"/>
        <v>0</v>
      </c>
      <c r="S367" s="60">
        <f t="shared" si="282"/>
        <v>0</v>
      </c>
      <c r="T367" s="60">
        <f t="shared" si="282"/>
        <v>0</v>
      </c>
      <c r="U367" s="60">
        <f t="shared" si="282"/>
        <v>0</v>
      </c>
      <c r="V367" s="60">
        <f t="shared" si="282"/>
        <v>0</v>
      </c>
      <c r="W367" s="60">
        <f t="shared" si="282"/>
        <v>0</v>
      </c>
      <c r="X367" s="60">
        <f t="shared" si="282"/>
        <v>0</v>
      </c>
      <c r="Y367" s="60">
        <f t="shared" si="282"/>
        <v>0</v>
      </c>
      <c r="Z367" s="60">
        <f t="shared" si="282"/>
        <v>0</v>
      </c>
    </row>
    <row r="368" spans="1:26" x14ac:dyDescent="0.2">
      <c r="A368" s="248"/>
      <c r="B368" s="248"/>
      <c r="C368" s="30" t="s">
        <v>19</v>
      </c>
      <c r="D368" s="63" t="e">
        <f t="shared" ref="D368:Z368" si="283">IF(ship_plot=ship1,D350,IF(ship_plot=ship2,D353,IF(ship_plot=ship3,D356,IF(ship_plot=ship4,D359,IF(ship_plot=ship5,D362,IF(ship_plot=ship6,D365,"error"))))))</f>
        <v>#N/A</v>
      </c>
      <c r="E368" s="63" t="e">
        <f t="shared" si="283"/>
        <v>#N/A</v>
      </c>
      <c r="F368" s="63" t="e">
        <f t="shared" si="283"/>
        <v>#N/A</v>
      </c>
      <c r="G368" s="63">
        <f t="shared" si="283"/>
        <v>0</v>
      </c>
      <c r="H368" s="63">
        <f t="shared" si="283"/>
        <v>0</v>
      </c>
      <c r="I368" s="63">
        <f t="shared" si="283"/>
        <v>0</v>
      </c>
      <c r="J368" s="63">
        <f t="shared" si="283"/>
        <v>0</v>
      </c>
      <c r="K368" s="63">
        <f t="shared" si="283"/>
        <v>0</v>
      </c>
      <c r="L368" s="63">
        <f t="shared" si="283"/>
        <v>0</v>
      </c>
      <c r="M368" s="63">
        <f t="shared" si="283"/>
        <v>0</v>
      </c>
      <c r="N368" s="63">
        <f t="shared" si="283"/>
        <v>0</v>
      </c>
      <c r="O368" s="63">
        <f t="shared" si="283"/>
        <v>0</v>
      </c>
      <c r="P368" s="63">
        <f t="shared" si="283"/>
        <v>0</v>
      </c>
      <c r="Q368" s="63">
        <f t="shared" si="283"/>
        <v>0</v>
      </c>
      <c r="R368" s="63">
        <f t="shared" si="283"/>
        <v>0</v>
      </c>
      <c r="S368" s="63">
        <f t="shared" si="283"/>
        <v>0</v>
      </c>
      <c r="T368" s="63">
        <f t="shared" si="283"/>
        <v>0</v>
      </c>
      <c r="U368" s="63">
        <f t="shared" si="283"/>
        <v>0</v>
      </c>
      <c r="V368" s="63">
        <f t="shared" si="283"/>
        <v>0</v>
      </c>
      <c r="W368" s="63">
        <f t="shared" si="283"/>
        <v>0</v>
      </c>
      <c r="X368" s="63">
        <f t="shared" si="283"/>
        <v>0</v>
      </c>
      <c r="Y368" s="63">
        <f t="shared" si="283"/>
        <v>0</v>
      </c>
      <c r="Z368" s="63">
        <f t="shared" si="283"/>
        <v>0</v>
      </c>
    </row>
    <row r="369" spans="1:32" ht="12.75" customHeight="1" x14ac:dyDescent="0.2">
      <c r="A369" s="76" t="s">
        <v>119</v>
      </c>
      <c r="B369" s="76">
        <f>ship_plot</f>
        <v>0</v>
      </c>
      <c r="C369" s="77">
        <f>scenario_display</f>
        <v>0</v>
      </c>
      <c r="D369" s="78" t="e">
        <f t="shared" ref="D369:Z369" si="284">IF(scenario_display="Low",D366,IF(scenario_display="Medium",D367,D368))</f>
        <v>#N/A</v>
      </c>
      <c r="E369" s="78" t="e">
        <f t="shared" si="284"/>
        <v>#N/A</v>
      </c>
      <c r="F369" s="78" t="e">
        <f t="shared" si="284"/>
        <v>#N/A</v>
      </c>
      <c r="G369" s="78">
        <f t="shared" si="284"/>
        <v>0</v>
      </c>
      <c r="H369" s="78">
        <f t="shared" si="284"/>
        <v>0</v>
      </c>
      <c r="I369" s="78">
        <f t="shared" si="284"/>
        <v>0</v>
      </c>
      <c r="J369" s="78">
        <f t="shared" si="284"/>
        <v>0</v>
      </c>
      <c r="K369" s="78">
        <f t="shared" si="284"/>
        <v>0</v>
      </c>
      <c r="L369" s="78">
        <f t="shared" si="284"/>
        <v>0</v>
      </c>
      <c r="M369" s="78">
        <f t="shared" si="284"/>
        <v>0</v>
      </c>
      <c r="N369" s="78">
        <f t="shared" si="284"/>
        <v>0</v>
      </c>
      <c r="O369" s="78">
        <f t="shared" si="284"/>
        <v>0</v>
      </c>
      <c r="P369" s="78">
        <f t="shared" si="284"/>
        <v>0</v>
      </c>
      <c r="Q369" s="78">
        <f t="shared" si="284"/>
        <v>0</v>
      </c>
      <c r="R369" s="78">
        <f t="shared" si="284"/>
        <v>0</v>
      </c>
      <c r="S369" s="78">
        <f t="shared" si="284"/>
        <v>0</v>
      </c>
      <c r="T369" s="78">
        <f t="shared" si="284"/>
        <v>0</v>
      </c>
      <c r="U369" s="78">
        <f t="shared" si="284"/>
        <v>0</v>
      </c>
      <c r="V369" s="78">
        <f t="shared" si="284"/>
        <v>0</v>
      </c>
      <c r="W369" s="78">
        <f t="shared" si="284"/>
        <v>0</v>
      </c>
      <c r="X369" s="78">
        <f t="shared" si="284"/>
        <v>0</v>
      </c>
      <c r="Y369" s="78">
        <f t="shared" si="284"/>
        <v>0</v>
      </c>
      <c r="Z369" s="78">
        <f t="shared" si="284"/>
        <v>0</v>
      </c>
    </row>
    <row r="370" spans="1:32" x14ac:dyDescent="0.2">
      <c r="A370" s="248" t="s">
        <v>123</v>
      </c>
      <c r="B370" s="248">
        <f>ship1</f>
        <v>0</v>
      </c>
      <c r="C370" s="30" t="s">
        <v>17</v>
      </c>
      <c r="D370" s="56" t="e">
        <f>NA()</f>
        <v>#N/A</v>
      </c>
      <c r="E370" s="56" t="e">
        <f>NA()</f>
        <v>#N/A</v>
      </c>
      <c r="F370" s="56" t="e">
        <f>NA()</f>
        <v>#N/A</v>
      </c>
      <c r="G370" s="56" t="e">
        <f>NA()</f>
        <v>#N/A</v>
      </c>
      <c r="H370" s="56">
        <f>-capex_ship1*10^6+$H238</f>
        <v>0</v>
      </c>
      <c r="I370" s="56">
        <f>-capex_ship1*10^6+$H238+NPV(dr_lo_ship1,$I238:I238)</f>
        <v>0</v>
      </c>
      <c r="J370" s="56">
        <f>-capex_ship1*10^6+$H238+NPV(dr_lo_ship1,$I238:J238)</f>
        <v>0</v>
      </c>
      <c r="K370" s="56">
        <f>-capex_ship1*10^6+$H238+NPV(dr_lo_ship1,$I238:K238)</f>
        <v>0</v>
      </c>
      <c r="L370" s="56">
        <f>-capex_ship1*10^6+$H238+NPV(dr_lo_ship1,$I238:L238)</f>
        <v>0</v>
      </c>
      <c r="M370" s="56">
        <f>-capex_ship1*10^6+$H238+NPV(dr_lo_ship1,$I238:M238)</f>
        <v>0</v>
      </c>
      <c r="N370" s="56">
        <f>-capex_ship1*10^6+$H238+NPV(dr_lo_ship1,$I238:N238)</f>
        <v>0</v>
      </c>
      <c r="O370" s="56">
        <f>-capex_ship1*10^6+$H238+NPV(dr_lo_ship1,$I238:O238)</f>
        <v>0</v>
      </c>
      <c r="P370" s="56">
        <f>-capex_ship1*10^6+$H238+NPV(dr_lo_ship1,$I238:P238)</f>
        <v>0</v>
      </c>
      <c r="Q370" s="56">
        <f>-capex_ship1*10^6+$H238+NPV(dr_lo_ship1,$I238:Q238)</f>
        <v>0</v>
      </c>
      <c r="R370" s="56">
        <f>-capex_ship1*10^6+$H238+NPV(dr_lo_ship1,$I238:R238)</f>
        <v>0</v>
      </c>
      <c r="S370" s="56">
        <f>-capex_ship1*10^6+$H238+NPV(dr_lo_ship1,$I238:S238)</f>
        <v>0</v>
      </c>
      <c r="T370" s="56">
        <f>-capex_ship1*10^6+$H238+NPV(dr_lo_ship1,$I238:T238)</f>
        <v>0</v>
      </c>
      <c r="U370" s="56">
        <f>-capex_ship1*10^6+$H238+NPV(dr_lo_ship1,$I238:U238)</f>
        <v>0</v>
      </c>
      <c r="V370" s="56">
        <f>-capex_ship1*10^6+$H238+NPV(dr_lo_ship1,$I238:V238)</f>
        <v>0</v>
      </c>
      <c r="W370" s="56">
        <f>-capex_ship1*10^6+$H238+NPV(dr_lo_ship1,$I238:W238)</f>
        <v>0</v>
      </c>
      <c r="X370" s="56">
        <f>-capex_ship1*10^6+$H238+NPV(dr_lo_ship1,$I238:X238)</f>
        <v>0</v>
      </c>
      <c r="Y370" s="56">
        <f>-capex_ship1*10^6+$H238+NPV(dr_lo_ship1,$I238:Y238)</f>
        <v>0</v>
      </c>
      <c r="Z370" s="56">
        <f>-capex_ship1*10^6+$H238+NPV(dr_lo_ship1,$I238:Z238)</f>
        <v>0</v>
      </c>
    </row>
    <row r="371" spans="1:32" x14ac:dyDescent="0.2">
      <c r="A371" s="248"/>
      <c r="B371" s="248"/>
      <c r="C371" s="30" t="s">
        <v>18</v>
      </c>
      <c r="D371" s="60" t="e">
        <f>NA()</f>
        <v>#N/A</v>
      </c>
      <c r="E371" s="60" t="e">
        <f>NA()</f>
        <v>#N/A</v>
      </c>
      <c r="F371" s="60" t="e">
        <f>NA()</f>
        <v>#N/A</v>
      </c>
      <c r="G371" s="60" t="e">
        <f>NA()</f>
        <v>#N/A</v>
      </c>
      <c r="H371" s="60">
        <f>-capex_ship1*10^6+$H239</f>
        <v>0</v>
      </c>
      <c r="I371" s="60">
        <f>-capex_ship1*10^6+$H239+NPV(dr_med_ship1,$I239:I239)</f>
        <v>0</v>
      </c>
      <c r="J371" s="60">
        <f>-capex_ship1*10^6+$H239+NPV(dr_med_ship1,$I239:J239)</f>
        <v>0</v>
      </c>
      <c r="K371" s="60">
        <f>-capex_ship1*10^6+$H239+NPV(dr_med_ship1,$I239:K239)</f>
        <v>0</v>
      </c>
      <c r="L371" s="60">
        <f>-capex_ship1*10^6+$H239+NPV(dr_med_ship1,$I239:L239)</f>
        <v>0</v>
      </c>
      <c r="M371" s="60">
        <f>-capex_ship1*10^6+$H239+NPV(dr_med_ship1,$I239:M239)</f>
        <v>0</v>
      </c>
      <c r="N371" s="60">
        <f>-capex_ship1*10^6+$H239+NPV(dr_med_ship1,$I239:N239)</f>
        <v>0</v>
      </c>
      <c r="O371" s="60">
        <f>-capex_ship1*10^6+$H239+NPV(dr_med_ship1,$I239:O239)</f>
        <v>0</v>
      </c>
      <c r="P371" s="60">
        <f>-capex_ship1*10^6+$H239+NPV(dr_med_ship1,$I239:P239)</f>
        <v>0</v>
      </c>
      <c r="Q371" s="60">
        <f>-capex_ship1*10^6+$H239+NPV(dr_med_ship1,$I239:Q239)</f>
        <v>0</v>
      </c>
      <c r="R371" s="60">
        <f>-capex_ship1*10^6+$H239+NPV(dr_med_ship1,$I239:R239)</f>
        <v>0</v>
      </c>
      <c r="S371" s="60">
        <f>-capex_ship1*10^6+$H239+NPV(dr_med_ship1,$I239:S239)</f>
        <v>0</v>
      </c>
      <c r="T371" s="60">
        <f>-capex_ship1*10^6+$H239+NPV(dr_med_ship1,$I239:T239)</f>
        <v>0</v>
      </c>
      <c r="U371" s="60">
        <f>-capex_ship1*10^6+$H239+NPV(dr_med_ship1,$I239:U239)</f>
        <v>0</v>
      </c>
      <c r="V371" s="60">
        <f>-capex_ship1*10^6+$H239+NPV(dr_med_ship1,$I239:V239)</f>
        <v>0</v>
      </c>
      <c r="W371" s="60">
        <f>-capex_ship1*10^6+$H239+NPV(dr_med_ship1,$I239:W239)</f>
        <v>0</v>
      </c>
      <c r="X371" s="60">
        <f>-capex_ship1*10^6+$H239+NPV(dr_med_ship1,$I239:X239)</f>
        <v>0</v>
      </c>
      <c r="Y371" s="60">
        <f>-capex_ship1*10^6+$H239+NPV(dr_med_ship1,$I239:Y239)</f>
        <v>0</v>
      </c>
      <c r="Z371" s="60">
        <f>-capex_ship1*10^6+$H239+NPV(dr_med_ship1,$I239:Z239)</f>
        <v>0</v>
      </c>
    </row>
    <row r="372" spans="1:32" x14ac:dyDescent="0.2">
      <c r="A372" s="248"/>
      <c r="B372" s="248"/>
      <c r="C372" s="30" t="s">
        <v>19</v>
      </c>
      <c r="D372" s="63" t="e">
        <f>NA()</f>
        <v>#N/A</v>
      </c>
      <c r="E372" s="63" t="e">
        <f>NA()</f>
        <v>#N/A</v>
      </c>
      <c r="F372" s="63" t="e">
        <f>NA()</f>
        <v>#N/A</v>
      </c>
      <c r="G372" s="63" t="e">
        <f>NA()</f>
        <v>#N/A</v>
      </c>
      <c r="H372" s="63">
        <f>-capex_ship1*10^6+$H240</f>
        <v>0</v>
      </c>
      <c r="I372" s="63">
        <f>-capex_ship1*10^6+$H240+NPV(dr_hi_ship1,$I240:I240)</f>
        <v>0</v>
      </c>
      <c r="J372" s="63">
        <f>-capex_ship1*10^6+$H240+NPV(dr_hi_ship1,$I240:J240)</f>
        <v>0</v>
      </c>
      <c r="K372" s="63">
        <f>-capex_ship1*10^6+$H240+NPV(dr_hi_ship1,$I240:K240)</f>
        <v>0</v>
      </c>
      <c r="L372" s="63">
        <f>-capex_ship1*10^6+$H240+NPV(dr_hi_ship1,$I240:L240)</f>
        <v>0</v>
      </c>
      <c r="M372" s="63">
        <f>-capex_ship1*10^6+$H240+NPV(dr_hi_ship1,$I240:M240)</f>
        <v>0</v>
      </c>
      <c r="N372" s="63">
        <f>-capex_ship1*10^6+$H240+NPV(dr_hi_ship1,$I240:N240)</f>
        <v>0</v>
      </c>
      <c r="O372" s="63">
        <f>-capex_ship1*10^6+$H240+NPV(dr_hi_ship1,$I240:O240)</f>
        <v>0</v>
      </c>
      <c r="P372" s="63">
        <f>-capex_ship1*10^6+$H240+NPV(dr_hi_ship1,$I240:P240)</f>
        <v>0</v>
      </c>
      <c r="Q372" s="63">
        <f>-capex_ship1*10^6+$H240+NPV(dr_hi_ship1,$I240:Q240)</f>
        <v>0</v>
      </c>
      <c r="R372" s="63">
        <f>-capex_ship1*10^6+$H240+NPV(dr_hi_ship1,$I240:R240)</f>
        <v>0</v>
      </c>
      <c r="S372" s="63">
        <f>-capex_ship1*10^6+$H240+NPV(dr_hi_ship1,$I240:S240)</f>
        <v>0</v>
      </c>
      <c r="T372" s="63">
        <f>-capex_ship1*10^6+$H240+NPV(dr_hi_ship1,$I240:T240)</f>
        <v>0</v>
      </c>
      <c r="U372" s="63">
        <f>-capex_ship1*10^6+$H240+NPV(dr_hi_ship1,$I240:U240)</f>
        <v>0</v>
      </c>
      <c r="V372" s="63">
        <f>-capex_ship1*10^6+$H240+NPV(dr_hi_ship1,$I240:V240)</f>
        <v>0</v>
      </c>
      <c r="W372" s="63">
        <f>-capex_ship1*10^6+$H240+NPV(dr_hi_ship1,$I240:W240)</f>
        <v>0</v>
      </c>
      <c r="X372" s="63">
        <f>-capex_ship1*10^6+$H240+NPV(dr_hi_ship1,$I240:X240)</f>
        <v>0</v>
      </c>
      <c r="Y372" s="63">
        <f>-capex_ship1*10^6+$H240+NPV(dr_hi_ship1,$I240:Y240)</f>
        <v>0</v>
      </c>
      <c r="Z372" s="63">
        <f>-capex_ship1*10^6+$H240+NPV(dr_hi_ship1,$I240:Z240)</f>
        <v>0</v>
      </c>
      <c r="AF372" s="108"/>
    </row>
    <row r="373" spans="1:32" x14ac:dyDescent="0.2">
      <c r="A373" s="248"/>
      <c r="B373" s="248">
        <f>ship2</f>
        <v>0</v>
      </c>
      <c r="C373" s="30" t="s">
        <v>17</v>
      </c>
      <c r="D373" s="56" t="e">
        <f>NA()</f>
        <v>#N/A</v>
      </c>
      <c r="E373" s="56" t="e">
        <f>NA()</f>
        <v>#N/A</v>
      </c>
      <c r="F373" s="56" t="e">
        <f>NA()</f>
        <v>#N/A</v>
      </c>
      <c r="G373" s="56" t="e">
        <f>NA()</f>
        <v>#N/A</v>
      </c>
      <c r="H373" s="56">
        <f>-capex_ship2*10^6+$H241</f>
        <v>0</v>
      </c>
      <c r="I373" s="56">
        <f>-capex_ship2*10^6+$H241+NPV(dr_lo_ship2,$I241:I241)</f>
        <v>0</v>
      </c>
      <c r="J373" s="56">
        <f>-capex_ship2*10^6+$H241+NPV(dr_lo_ship2,$I241:J241)</f>
        <v>0</v>
      </c>
      <c r="K373" s="56">
        <f>-capex_ship2*10^6+$H241+NPV(dr_lo_ship2,$I241:K241)</f>
        <v>0</v>
      </c>
      <c r="L373" s="56">
        <f>-capex_ship2*10^6+$H241+NPV(dr_lo_ship2,$I241:L241)</f>
        <v>0</v>
      </c>
      <c r="M373" s="56">
        <f>-capex_ship2*10^6+$H241+NPV(dr_lo_ship2,$I241:M241)</f>
        <v>0</v>
      </c>
      <c r="N373" s="56">
        <f>-capex_ship2*10^6+$H241+NPV(dr_lo_ship2,$I241:N241)</f>
        <v>0</v>
      </c>
      <c r="O373" s="56">
        <f>-capex_ship2*10^6+$H241+NPV(dr_lo_ship2,$I241:O241)</f>
        <v>0</v>
      </c>
      <c r="P373" s="56">
        <f>-capex_ship2*10^6+$H241+NPV(dr_lo_ship2,$I241:P241)</f>
        <v>0</v>
      </c>
      <c r="Q373" s="56">
        <f>-capex_ship2*10^6+$H241+NPV(dr_lo_ship2,$I241:Q241)</f>
        <v>0</v>
      </c>
      <c r="R373" s="56">
        <f>-capex_ship2*10^6+$H241+NPV(dr_lo_ship2,$I241:R241)</f>
        <v>0</v>
      </c>
      <c r="S373" s="56">
        <f>-capex_ship2*10^6+$H241+NPV(dr_lo_ship2,$I241:S241)</f>
        <v>0</v>
      </c>
      <c r="T373" s="56">
        <f>-capex_ship2*10^6+$H241+NPV(dr_lo_ship2,$I241:T241)</f>
        <v>0</v>
      </c>
      <c r="U373" s="56">
        <f>-capex_ship2*10^6+$H241+NPV(dr_lo_ship2,$I241:U241)</f>
        <v>0</v>
      </c>
      <c r="V373" s="56">
        <f>-capex_ship2*10^6+$H241+NPV(dr_lo_ship2,$I241:V241)</f>
        <v>0</v>
      </c>
      <c r="W373" s="56">
        <f>-capex_ship2*10^6+$H241+NPV(dr_lo_ship2,$I241:W241)</f>
        <v>0</v>
      </c>
      <c r="X373" s="56">
        <f>-capex_ship2*10^6+$H241+NPV(dr_lo_ship2,$I241:X241)</f>
        <v>0</v>
      </c>
      <c r="Y373" s="56">
        <f>-capex_ship2*10^6+$H241+NPV(dr_lo_ship2,$I241:Y241)</f>
        <v>0</v>
      </c>
      <c r="Z373" s="56">
        <f>-capex_ship2*10^6+$H241+NPV(dr_lo_ship2,$I241:Z241)</f>
        <v>0</v>
      </c>
    </row>
    <row r="374" spans="1:32" x14ac:dyDescent="0.2">
      <c r="A374" s="248"/>
      <c r="B374" s="248"/>
      <c r="C374" s="30" t="s">
        <v>18</v>
      </c>
      <c r="D374" s="60" t="e">
        <f>NA()</f>
        <v>#N/A</v>
      </c>
      <c r="E374" s="60" t="e">
        <f>NA()</f>
        <v>#N/A</v>
      </c>
      <c r="F374" s="60" t="e">
        <f>NA()</f>
        <v>#N/A</v>
      </c>
      <c r="G374" s="60" t="e">
        <f>NA()</f>
        <v>#N/A</v>
      </c>
      <c r="H374" s="60">
        <f>-capex_ship2*10^6+$H242</f>
        <v>0</v>
      </c>
      <c r="I374" s="60">
        <f>-capex_ship2*10^6+$H242+NPV(dr_med_ship2,$I242:I242)</f>
        <v>0</v>
      </c>
      <c r="J374" s="60">
        <f>-capex_ship2*10^6+$H242+NPV(dr_med_ship2,$I242:J242)</f>
        <v>0</v>
      </c>
      <c r="K374" s="60">
        <f>-capex_ship2*10^6+$H242+NPV(dr_med_ship2,$I242:K242)</f>
        <v>0</v>
      </c>
      <c r="L374" s="60">
        <f>-capex_ship2*10^6+$H242+NPV(dr_med_ship2,$I242:L242)</f>
        <v>0</v>
      </c>
      <c r="M374" s="60">
        <f>-capex_ship2*10^6+$H242+NPV(dr_med_ship2,$I242:M242)</f>
        <v>0</v>
      </c>
      <c r="N374" s="60">
        <f>-capex_ship2*10^6+$H242+NPV(dr_med_ship2,$I242:N242)</f>
        <v>0</v>
      </c>
      <c r="O374" s="60">
        <f>-capex_ship2*10^6+$H242+NPV(dr_med_ship2,$I242:O242)</f>
        <v>0</v>
      </c>
      <c r="P374" s="60">
        <f>-capex_ship2*10^6+$H242+NPV(dr_med_ship2,$I242:P242)</f>
        <v>0</v>
      </c>
      <c r="Q374" s="60">
        <f>-capex_ship2*10^6+$H242+NPV(dr_med_ship2,$I242:Q242)</f>
        <v>0</v>
      </c>
      <c r="R374" s="60">
        <f>-capex_ship2*10^6+$H242+NPV(dr_med_ship2,$I242:R242)</f>
        <v>0</v>
      </c>
      <c r="S374" s="60">
        <f>-capex_ship2*10^6+$H242+NPV(dr_med_ship2,$I242:S242)</f>
        <v>0</v>
      </c>
      <c r="T374" s="60">
        <f>-capex_ship2*10^6+$H242+NPV(dr_med_ship2,$I242:T242)</f>
        <v>0</v>
      </c>
      <c r="U374" s="60">
        <f>-capex_ship2*10^6+$H242+NPV(dr_med_ship2,$I242:U242)</f>
        <v>0</v>
      </c>
      <c r="V374" s="60">
        <f>-capex_ship2*10^6+$H242+NPV(dr_med_ship2,$I242:V242)</f>
        <v>0</v>
      </c>
      <c r="W374" s="60">
        <f>-capex_ship2*10^6+$H242+NPV(dr_med_ship2,$I242:W242)</f>
        <v>0</v>
      </c>
      <c r="X374" s="60">
        <f>-capex_ship2*10^6+$H242+NPV(dr_med_ship2,$I242:X242)</f>
        <v>0</v>
      </c>
      <c r="Y374" s="60">
        <f>-capex_ship2*10^6+$H242+NPV(dr_med_ship2,$I242:Y242)</f>
        <v>0</v>
      </c>
      <c r="Z374" s="60">
        <f>-capex_ship2*10^6+$H242+NPV(dr_med_ship2,$I242:Z242)</f>
        <v>0</v>
      </c>
    </row>
    <row r="375" spans="1:32" x14ac:dyDescent="0.2">
      <c r="A375" s="248"/>
      <c r="B375" s="248"/>
      <c r="C375" s="30" t="s">
        <v>19</v>
      </c>
      <c r="D375" s="63" t="e">
        <f>NA()</f>
        <v>#N/A</v>
      </c>
      <c r="E375" s="63" t="e">
        <f>NA()</f>
        <v>#N/A</v>
      </c>
      <c r="F375" s="63" t="e">
        <f>NA()</f>
        <v>#N/A</v>
      </c>
      <c r="G375" s="63" t="e">
        <f>NA()</f>
        <v>#N/A</v>
      </c>
      <c r="H375" s="63">
        <f>-capex_ship2*10^6+$H243</f>
        <v>0</v>
      </c>
      <c r="I375" s="63">
        <f>-capex_ship2*10^6+$H243+NPV(dr_hi_ship2,$I243:I243)</f>
        <v>0</v>
      </c>
      <c r="J375" s="63">
        <f>-capex_ship2*10^6+$H243+NPV(dr_hi_ship2,$I243:J243)</f>
        <v>0</v>
      </c>
      <c r="K375" s="63">
        <f>-capex_ship2*10^6+$H243+NPV(dr_hi_ship2,$I243:K243)</f>
        <v>0</v>
      </c>
      <c r="L375" s="63">
        <f>-capex_ship2*10^6+$H243+NPV(dr_hi_ship2,$I243:L243)</f>
        <v>0</v>
      </c>
      <c r="M375" s="63">
        <f>-capex_ship2*10^6+$H243+NPV(dr_hi_ship2,$I243:M243)</f>
        <v>0</v>
      </c>
      <c r="N375" s="63">
        <f>-capex_ship2*10^6+$H243+NPV(dr_hi_ship2,$I243:N243)</f>
        <v>0</v>
      </c>
      <c r="O375" s="63">
        <f>-capex_ship2*10^6+$H243+NPV(dr_hi_ship2,$I243:O243)</f>
        <v>0</v>
      </c>
      <c r="P375" s="63">
        <f>-capex_ship2*10^6+$H243+NPV(dr_hi_ship2,$I243:P243)</f>
        <v>0</v>
      </c>
      <c r="Q375" s="63">
        <f>-capex_ship2*10^6+$H243+NPV(dr_hi_ship2,$I243:Q243)</f>
        <v>0</v>
      </c>
      <c r="R375" s="63">
        <f>-capex_ship2*10^6+$H243+NPV(dr_hi_ship2,$I243:R243)</f>
        <v>0</v>
      </c>
      <c r="S375" s="63">
        <f>-capex_ship2*10^6+$H243+NPV(dr_hi_ship2,$I243:S243)</f>
        <v>0</v>
      </c>
      <c r="T375" s="63">
        <f>-capex_ship2*10^6+$H243+NPV(dr_hi_ship2,$I243:T243)</f>
        <v>0</v>
      </c>
      <c r="U375" s="63">
        <f>-capex_ship2*10^6+$H243+NPV(dr_hi_ship2,$I243:U243)</f>
        <v>0</v>
      </c>
      <c r="V375" s="63">
        <f>-capex_ship2*10^6+$H243+NPV(dr_hi_ship2,$I243:V243)</f>
        <v>0</v>
      </c>
      <c r="W375" s="63">
        <f>-capex_ship2*10^6+$H243+NPV(dr_hi_ship2,$I243:W243)</f>
        <v>0</v>
      </c>
      <c r="X375" s="63">
        <f>-capex_ship2*10^6+$H243+NPV(dr_hi_ship2,$I243:X243)</f>
        <v>0</v>
      </c>
      <c r="Y375" s="63">
        <f>-capex_ship2*10^6+$H243+NPV(dr_hi_ship2,$I243:Y243)</f>
        <v>0</v>
      </c>
      <c r="Z375" s="63">
        <f>-capex_ship2*10^6+$H243+NPV(dr_hi_ship2,$I243:Z243)</f>
        <v>0</v>
      </c>
    </row>
    <row r="376" spans="1:32" x14ac:dyDescent="0.2">
      <c r="A376" s="248"/>
      <c r="B376" s="248">
        <f>ship3</f>
        <v>0</v>
      </c>
      <c r="C376" s="30" t="s">
        <v>17</v>
      </c>
      <c r="D376" s="56" t="e">
        <f>NA()</f>
        <v>#N/A</v>
      </c>
      <c r="E376" s="56" t="e">
        <f>NA()</f>
        <v>#N/A</v>
      </c>
      <c r="F376" s="56" t="e">
        <f>NA()</f>
        <v>#N/A</v>
      </c>
      <c r="G376" s="56" t="e">
        <f>NA()</f>
        <v>#N/A</v>
      </c>
      <c r="H376" s="56">
        <f>-capex_ship3*10^6+$H244</f>
        <v>0</v>
      </c>
      <c r="I376" s="56">
        <f>-capex_ship3*10^6+$H244+NPV(dr_lo_ship3,$I244:I244)</f>
        <v>0</v>
      </c>
      <c r="J376" s="56">
        <f>-capex_ship3*10^6+$H244+NPV(dr_lo_ship3,$I244:J244)</f>
        <v>0</v>
      </c>
      <c r="K376" s="56">
        <f>-capex_ship3*10^6+$H244+NPV(dr_lo_ship3,$I244:K244)</f>
        <v>0</v>
      </c>
      <c r="L376" s="56">
        <f>-capex_ship3*10^6+$H244+NPV(dr_lo_ship3,$I244:L244)</f>
        <v>0</v>
      </c>
      <c r="M376" s="56">
        <f>-capex_ship3*10^6+$H244+NPV(dr_lo_ship3,$I244:M244)</f>
        <v>0</v>
      </c>
      <c r="N376" s="56">
        <f>-capex_ship3*10^6+$H244+NPV(dr_lo_ship3,$I244:N244)</f>
        <v>0</v>
      </c>
      <c r="O376" s="56">
        <f>-capex_ship3*10^6+$H244+NPV(dr_lo_ship3,$I244:O244)</f>
        <v>0</v>
      </c>
      <c r="P376" s="56">
        <f>-capex_ship3*10^6+$H244+NPV(dr_lo_ship3,$I244:P244)</f>
        <v>0</v>
      </c>
      <c r="Q376" s="56">
        <f>-capex_ship3*10^6+$H244+NPV(dr_lo_ship3,$I244:Q244)</f>
        <v>0</v>
      </c>
      <c r="R376" s="56">
        <f>-capex_ship3*10^6+$H244+NPV(dr_lo_ship3,$I244:R244)</f>
        <v>0</v>
      </c>
      <c r="S376" s="56">
        <f>-capex_ship3*10^6+$H244+NPV(dr_lo_ship3,$I244:S244)</f>
        <v>0</v>
      </c>
      <c r="T376" s="56">
        <f>-capex_ship3*10^6+$H244+NPV(dr_lo_ship3,$I244:T244)</f>
        <v>0</v>
      </c>
      <c r="U376" s="56">
        <f>-capex_ship3*10^6+$H244+NPV(dr_lo_ship3,$I244:U244)</f>
        <v>0</v>
      </c>
      <c r="V376" s="56">
        <f>-capex_ship3*10^6+$H244+NPV(dr_lo_ship3,$I244:V244)</f>
        <v>0</v>
      </c>
      <c r="W376" s="56">
        <f>-capex_ship3*10^6+$H244+NPV(dr_lo_ship3,$I244:W244)</f>
        <v>0</v>
      </c>
      <c r="X376" s="56">
        <f>-capex_ship3*10^6+$H244+NPV(dr_lo_ship3,$I244:X244)</f>
        <v>0</v>
      </c>
      <c r="Y376" s="56">
        <f>-capex_ship3*10^6+$H244+NPV(dr_lo_ship3,$I244:Y244)</f>
        <v>0</v>
      </c>
      <c r="Z376" s="56">
        <f>-capex_ship3*10^6+$H244+NPV(dr_lo_ship3,$I244:Z244)</f>
        <v>0</v>
      </c>
    </row>
    <row r="377" spans="1:32" x14ac:dyDescent="0.2">
      <c r="A377" s="248"/>
      <c r="B377" s="248"/>
      <c r="C377" s="30" t="s">
        <v>18</v>
      </c>
      <c r="D377" s="60" t="e">
        <f>NA()</f>
        <v>#N/A</v>
      </c>
      <c r="E377" s="60" t="e">
        <f>NA()</f>
        <v>#N/A</v>
      </c>
      <c r="F377" s="60" t="e">
        <f>NA()</f>
        <v>#N/A</v>
      </c>
      <c r="G377" s="60" t="e">
        <f>NA()</f>
        <v>#N/A</v>
      </c>
      <c r="H377" s="60">
        <f>-capex_ship3*10^6+$H245</f>
        <v>0</v>
      </c>
      <c r="I377" s="60">
        <f>-capex_ship3*10^6+$H245+NPV(dr_med_ship3,$I245:I245)</f>
        <v>0</v>
      </c>
      <c r="J377" s="60">
        <f>-capex_ship3*10^6+$H245+NPV(dr_med_ship3,$I245:J245)</f>
        <v>0</v>
      </c>
      <c r="K377" s="60">
        <f>-capex_ship3*10^6+$H245+NPV(dr_med_ship3,$I245:K245)</f>
        <v>0</v>
      </c>
      <c r="L377" s="60">
        <f>-capex_ship3*10^6+$H245+NPV(dr_med_ship3,$I245:L245)</f>
        <v>0</v>
      </c>
      <c r="M377" s="60">
        <f>-capex_ship3*10^6+$H245+NPV(dr_med_ship3,$I245:M245)</f>
        <v>0</v>
      </c>
      <c r="N377" s="60">
        <f>-capex_ship3*10^6+$H245+NPV(dr_med_ship3,$I245:N245)</f>
        <v>0</v>
      </c>
      <c r="O377" s="60">
        <f>-capex_ship3*10^6+$H245+NPV(dr_med_ship3,$I245:O245)</f>
        <v>0</v>
      </c>
      <c r="P377" s="60">
        <f>-capex_ship3*10^6+$H245+NPV(dr_med_ship3,$I245:P245)</f>
        <v>0</v>
      </c>
      <c r="Q377" s="60">
        <f>-capex_ship3*10^6+$H245+NPV(dr_med_ship3,$I245:Q245)</f>
        <v>0</v>
      </c>
      <c r="R377" s="60">
        <f>-capex_ship3*10^6+$H245+NPV(dr_med_ship3,$I245:R245)</f>
        <v>0</v>
      </c>
      <c r="S377" s="60">
        <f>-capex_ship3*10^6+$H245+NPV(dr_med_ship3,$I245:S245)</f>
        <v>0</v>
      </c>
      <c r="T377" s="60">
        <f>-capex_ship3*10^6+$H245+NPV(dr_med_ship3,$I245:T245)</f>
        <v>0</v>
      </c>
      <c r="U377" s="60">
        <f>-capex_ship3*10^6+$H245+NPV(dr_med_ship3,$I245:U245)</f>
        <v>0</v>
      </c>
      <c r="V377" s="60">
        <f>-capex_ship3*10^6+$H245+NPV(dr_med_ship3,$I245:V245)</f>
        <v>0</v>
      </c>
      <c r="W377" s="60">
        <f>-capex_ship3*10^6+$H245+NPV(dr_med_ship3,$I245:W245)</f>
        <v>0</v>
      </c>
      <c r="X377" s="60">
        <f>-capex_ship3*10^6+$H245+NPV(dr_med_ship3,$I245:X245)</f>
        <v>0</v>
      </c>
      <c r="Y377" s="60">
        <f>-capex_ship3*10^6+$H245+NPV(dr_med_ship3,$I245:Y245)</f>
        <v>0</v>
      </c>
      <c r="Z377" s="60">
        <f>-capex_ship3*10^6+$H245+NPV(dr_med_ship3,$I245:Z245)</f>
        <v>0</v>
      </c>
    </row>
    <row r="378" spans="1:32" x14ac:dyDescent="0.2">
      <c r="A378" s="248"/>
      <c r="B378" s="248"/>
      <c r="C378" s="30" t="s">
        <v>19</v>
      </c>
      <c r="D378" s="63" t="e">
        <f>NA()</f>
        <v>#N/A</v>
      </c>
      <c r="E378" s="63" t="e">
        <f>NA()</f>
        <v>#N/A</v>
      </c>
      <c r="F378" s="63" t="e">
        <f>NA()</f>
        <v>#N/A</v>
      </c>
      <c r="G378" s="63" t="e">
        <f>NA()</f>
        <v>#N/A</v>
      </c>
      <c r="H378" s="63">
        <f>-capex_ship3*10^6+$H246</f>
        <v>0</v>
      </c>
      <c r="I378" s="63">
        <f>-capex_ship3*10^6+$H246+NPV(dr_hi_ship3,$I246:I246)</f>
        <v>0</v>
      </c>
      <c r="J378" s="63">
        <f>-capex_ship3*10^6+$H246+NPV(dr_hi_ship3,$I246:J246)</f>
        <v>0</v>
      </c>
      <c r="K378" s="63">
        <f>-capex_ship3*10^6+$H246+NPV(dr_hi_ship3,$I246:K246)</f>
        <v>0</v>
      </c>
      <c r="L378" s="63">
        <f>-capex_ship3*10^6+$H246+NPV(dr_hi_ship3,$I246:L246)</f>
        <v>0</v>
      </c>
      <c r="M378" s="63">
        <f>-capex_ship3*10^6+$H246+NPV(dr_hi_ship3,$I246:M246)</f>
        <v>0</v>
      </c>
      <c r="N378" s="63">
        <f>-capex_ship3*10^6+$H246+NPV(dr_hi_ship3,$I246:N246)</f>
        <v>0</v>
      </c>
      <c r="O378" s="63">
        <f>-capex_ship3*10^6+$H246+NPV(dr_hi_ship3,$I246:O246)</f>
        <v>0</v>
      </c>
      <c r="P378" s="63">
        <f>-capex_ship3*10^6+$H246+NPV(dr_hi_ship3,$I246:P246)</f>
        <v>0</v>
      </c>
      <c r="Q378" s="63">
        <f>-capex_ship3*10^6+$H246+NPV(dr_hi_ship3,$I246:Q246)</f>
        <v>0</v>
      </c>
      <c r="R378" s="63">
        <f>-capex_ship3*10^6+$H246+NPV(dr_hi_ship3,$I246:R246)</f>
        <v>0</v>
      </c>
      <c r="S378" s="63">
        <f>-capex_ship3*10^6+$H246+NPV(dr_hi_ship3,$I246:S246)</f>
        <v>0</v>
      </c>
      <c r="T378" s="63">
        <f>-capex_ship3*10^6+$H246+NPV(dr_hi_ship3,$I246:T246)</f>
        <v>0</v>
      </c>
      <c r="U378" s="63">
        <f>-capex_ship3*10^6+$H246+NPV(dr_hi_ship3,$I246:U246)</f>
        <v>0</v>
      </c>
      <c r="V378" s="63">
        <f>-capex_ship3*10^6+$H246+NPV(dr_hi_ship3,$I246:V246)</f>
        <v>0</v>
      </c>
      <c r="W378" s="63">
        <f>-capex_ship3*10^6+$H246+NPV(dr_hi_ship3,$I246:W246)</f>
        <v>0</v>
      </c>
      <c r="X378" s="63">
        <f>-capex_ship3*10^6+$H246+NPV(dr_hi_ship3,$I246:X246)</f>
        <v>0</v>
      </c>
      <c r="Y378" s="63">
        <f>-capex_ship3*10^6+$H246+NPV(dr_hi_ship3,$I246:Y246)</f>
        <v>0</v>
      </c>
      <c r="Z378" s="63">
        <f>-capex_ship3*10^6+$H246+NPV(dr_hi_ship3,$I246:Z246)</f>
        <v>0</v>
      </c>
    </row>
    <row r="379" spans="1:32" x14ac:dyDescent="0.2">
      <c r="A379" s="248"/>
      <c r="B379" s="248">
        <f>ship4</f>
        <v>0</v>
      </c>
      <c r="C379" s="30" t="s">
        <v>17</v>
      </c>
      <c r="D379" s="56" t="e">
        <f>NA()</f>
        <v>#N/A</v>
      </c>
      <c r="E379" s="56" t="e">
        <f>NA()</f>
        <v>#N/A</v>
      </c>
      <c r="F379" s="56" t="e">
        <f>NA()</f>
        <v>#N/A</v>
      </c>
      <c r="G379" s="56" t="e">
        <f>NA()</f>
        <v>#N/A</v>
      </c>
      <c r="H379" s="56">
        <f>-capex_ship4*10^6+$H247</f>
        <v>0</v>
      </c>
      <c r="I379" s="56">
        <f>-capex_ship4*10^6+$H247+NPV(dr_lo_ship4,$I247:I247)</f>
        <v>0</v>
      </c>
      <c r="J379" s="56">
        <f>-capex_ship4*10^6+$H247+NPV(dr_lo_ship4,$I247:J247)</f>
        <v>0</v>
      </c>
      <c r="K379" s="56">
        <f>-capex_ship4*10^6+$H247+NPV(dr_lo_ship4,$I247:K247)</f>
        <v>0</v>
      </c>
      <c r="L379" s="56">
        <f>-capex_ship4*10^6+$H247+NPV(dr_lo_ship4,$I247:L247)</f>
        <v>0</v>
      </c>
      <c r="M379" s="56">
        <f>-capex_ship4*10^6+$H247+NPV(dr_lo_ship4,$I247:M247)</f>
        <v>0</v>
      </c>
      <c r="N379" s="56">
        <f>-capex_ship4*10^6+$H247+NPV(dr_lo_ship4,$I247:N247)</f>
        <v>0</v>
      </c>
      <c r="O379" s="56">
        <f>-capex_ship4*10^6+$H247+NPV(dr_lo_ship4,$I247:O247)</f>
        <v>0</v>
      </c>
      <c r="P379" s="56">
        <f>-capex_ship4*10^6+$H247+NPV(dr_lo_ship4,$I247:P247)</f>
        <v>0</v>
      </c>
      <c r="Q379" s="56">
        <f>-capex_ship4*10^6+$H247+NPV(dr_lo_ship4,$I247:Q247)</f>
        <v>0</v>
      </c>
      <c r="R379" s="56">
        <f>-capex_ship4*10^6+$H247+NPV(dr_lo_ship4,$I247:R247)</f>
        <v>0</v>
      </c>
      <c r="S379" s="56">
        <f>-capex_ship4*10^6+$H247+NPV(dr_lo_ship4,$I247:S247)</f>
        <v>0</v>
      </c>
      <c r="T379" s="56">
        <f>-capex_ship4*10^6+$H247+NPV(dr_lo_ship4,$I247:T247)</f>
        <v>0</v>
      </c>
      <c r="U379" s="56">
        <f>-capex_ship4*10^6+$H247+NPV(dr_lo_ship4,$I247:U247)</f>
        <v>0</v>
      </c>
      <c r="V379" s="56">
        <f>-capex_ship4*10^6+$H247+NPV(dr_lo_ship4,$I247:V247)</f>
        <v>0</v>
      </c>
      <c r="W379" s="56">
        <f>-capex_ship4*10^6+$H247+NPV(dr_lo_ship4,$I247:W247)</f>
        <v>0</v>
      </c>
      <c r="X379" s="56">
        <f>-capex_ship4*10^6+$H247+NPV(dr_lo_ship4,$I247:X247)</f>
        <v>0</v>
      </c>
      <c r="Y379" s="56">
        <f>-capex_ship4*10^6+$H247+NPV(dr_lo_ship4,$I247:Y247)</f>
        <v>0</v>
      </c>
      <c r="Z379" s="56">
        <f>-capex_ship4*10^6+$H247+NPV(dr_lo_ship4,$I247:Z247)</f>
        <v>0</v>
      </c>
    </row>
    <row r="380" spans="1:32" x14ac:dyDescent="0.2">
      <c r="A380" s="248"/>
      <c r="B380" s="248"/>
      <c r="C380" s="30" t="s">
        <v>18</v>
      </c>
      <c r="D380" s="60" t="e">
        <f>NA()</f>
        <v>#N/A</v>
      </c>
      <c r="E380" s="60" t="e">
        <f>NA()</f>
        <v>#N/A</v>
      </c>
      <c r="F380" s="60" t="e">
        <f>NA()</f>
        <v>#N/A</v>
      </c>
      <c r="G380" s="60" t="e">
        <f>NA()</f>
        <v>#N/A</v>
      </c>
      <c r="H380" s="60">
        <f>-capex_ship4*10^6+$H248</f>
        <v>0</v>
      </c>
      <c r="I380" s="60">
        <f>-capex_ship4*10^6+$H248+NPV(dr_med_ship4,$I248:I248)</f>
        <v>0</v>
      </c>
      <c r="J380" s="60">
        <f>-capex_ship4*10^6+$H248+NPV(dr_med_ship4,$I248:J248)</f>
        <v>0</v>
      </c>
      <c r="K380" s="60">
        <f>-capex_ship4*10^6+$H248+NPV(dr_med_ship4,$I248:K248)</f>
        <v>0</v>
      </c>
      <c r="L380" s="60">
        <f>-capex_ship4*10^6+$H248+NPV(dr_med_ship4,$I248:L248)</f>
        <v>0</v>
      </c>
      <c r="M380" s="60">
        <f>-capex_ship4*10^6+$H248+NPV(dr_med_ship4,$I248:M248)</f>
        <v>0</v>
      </c>
      <c r="N380" s="60">
        <f>-capex_ship4*10^6+$H248+NPV(dr_med_ship4,$I248:N248)</f>
        <v>0</v>
      </c>
      <c r="O380" s="60">
        <f>-capex_ship4*10^6+$H248+NPV(dr_med_ship4,$I248:O248)</f>
        <v>0</v>
      </c>
      <c r="P380" s="60">
        <f>-capex_ship4*10^6+$H248+NPV(dr_med_ship4,$I248:P248)</f>
        <v>0</v>
      </c>
      <c r="Q380" s="60">
        <f>-capex_ship4*10^6+$H248+NPV(dr_med_ship4,$I248:Q248)</f>
        <v>0</v>
      </c>
      <c r="R380" s="60">
        <f>-capex_ship4*10^6+$H248+NPV(dr_med_ship4,$I248:R248)</f>
        <v>0</v>
      </c>
      <c r="S380" s="60">
        <f>-capex_ship4*10^6+$H248+NPV(dr_med_ship4,$I248:S248)</f>
        <v>0</v>
      </c>
      <c r="T380" s="60">
        <f>-capex_ship4*10^6+$H248+NPV(dr_med_ship4,$I248:T248)</f>
        <v>0</v>
      </c>
      <c r="U380" s="60">
        <f>-capex_ship4*10^6+$H248+NPV(dr_med_ship4,$I248:U248)</f>
        <v>0</v>
      </c>
      <c r="V380" s="60">
        <f>-capex_ship4*10^6+$H248+NPV(dr_med_ship4,$I248:V248)</f>
        <v>0</v>
      </c>
      <c r="W380" s="60">
        <f>-capex_ship4*10^6+$H248+NPV(dr_med_ship4,$I248:W248)</f>
        <v>0</v>
      </c>
      <c r="X380" s="60">
        <f>-capex_ship4*10^6+$H248+NPV(dr_med_ship4,$I248:X248)</f>
        <v>0</v>
      </c>
      <c r="Y380" s="60">
        <f>-capex_ship4*10^6+$H248+NPV(dr_med_ship4,$I248:Y248)</f>
        <v>0</v>
      </c>
      <c r="Z380" s="60">
        <f>-capex_ship4*10^6+$H248+NPV(dr_med_ship4,$I248:Z248)</f>
        <v>0</v>
      </c>
    </row>
    <row r="381" spans="1:32" x14ac:dyDescent="0.2">
      <c r="A381" s="248"/>
      <c r="B381" s="248"/>
      <c r="C381" s="30" t="s">
        <v>19</v>
      </c>
      <c r="D381" s="63" t="e">
        <f>NA()</f>
        <v>#N/A</v>
      </c>
      <c r="E381" s="63" t="e">
        <f>NA()</f>
        <v>#N/A</v>
      </c>
      <c r="F381" s="63" t="e">
        <f>NA()</f>
        <v>#N/A</v>
      </c>
      <c r="G381" s="63" t="e">
        <f>NA()</f>
        <v>#N/A</v>
      </c>
      <c r="H381" s="63">
        <f>-capex_ship4*10^6+$H249</f>
        <v>0</v>
      </c>
      <c r="I381" s="63">
        <f>-capex_ship4*10^6+$H249+NPV(dr_hi_ship4,$I249:I249)</f>
        <v>0</v>
      </c>
      <c r="J381" s="63">
        <f>-capex_ship4*10^6+$H249+NPV(dr_hi_ship4,$I249:J249)</f>
        <v>0</v>
      </c>
      <c r="K381" s="63">
        <f>-capex_ship4*10^6+$H249+NPV(dr_hi_ship4,$I249:K249)</f>
        <v>0</v>
      </c>
      <c r="L381" s="63">
        <f>-capex_ship4*10^6+$H249+NPV(dr_hi_ship4,$I249:L249)</f>
        <v>0</v>
      </c>
      <c r="M381" s="63">
        <f>-capex_ship4*10^6+$H249+NPV(dr_hi_ship4,$I249:M249)</f>
        <v>0</v>
      </c>
      <c r="N381" s="63">
        <f>-capex_ship4*10^6+$H249+NPV(dr_hi_ship4,$I249:N249)</f>
        <v>0</v>
      </c>
      <c r="O381" s="63">
        <f>-capex_ship4*10^6+$H249+NPV(dr_hi_ship4,$I249:O249)</f>
        <v>0</v>
      </c>
      <c r="P381" s="63">
        <f>-capex_ship4*10^6+$H249+NPV(dr_hi_ship4,$I249:P249)</f>
        <v>0</v>
      </c>
      <c r="Q381" s="63">
        <f>-capex_ship4*10^6+$H249+NPV(dr_hi_ship4,$I249:Q249)</f>
        <v>0</v>
      </c>
      <c r="R381" s="63">
        <f>-capex_ship4*10^6+$H249+NPV(dr_hi_ship4,$I249:R249)</f>
        <v>0</v>
      </c>
      <c r="S381" s="63">
        <f>-capex_ship4*10^6+$H249+NPV(dr_hi_ship4,$I249:S249)</f>
        <v>0</v>
      </c>
      <c r="T381" s="63">
        <f>-capex_ship4*10^6+$H249+NPV(dr_hi_ship4,$I249:T249)</f>
        <v>0</v>
      </c>
      <c r="U381" s="63">
        <f>-capex_ship4*10^6+$H249+NPV(dr_hi_ship4,$I249:U249)</f>
        <v>0</v>
      </c>
      <c r="V381" s="63">
        <f>-capex_ship4*10^6+$H249+NPV(dr_hi_ship4,$I249:V249)</f>
        <v>0</v>
      </c>
      <c r="W381" s="63">
        <f>-capex_ship4*10^6+$H249+NPV(dr_hi_ship4,$I249:W249)</f>
        <v>0</v>
      </c>
      <c r="X381" s="63">
        <f>-capex_ship4*10^6+$H249+NPV(dr_hi_ship4,$I249:X249)</f>
        <v>0</v>
      </c>
      <c r="Y381" s="63">
        <f>-capex_ship4*10^6+$H249+NPV(dr_hi_ship4,$I249:Y249)</f>
        <v>0</v>
      </c>
      <c r="Z381" s="63">
        <f>-capex_ship4*10^6+$H249+NPV(dr_hi_ship4,$I249:Z249)</f>
        <v>0</v>
      </c>
    </row>
    <row r="382" spans="1:32" x14ac:dyDescent="0.2">
      <c r="A382" s="248"/>
      <c r="B382" s="248">
        <f>ship5</f>
        <v>0</v>
      </c>
      <c r="C382" s="30" t="s">
        <v>17</v>
      </c>
      <c r="D382" s="56" t="e">
        <f>NA()</f>
        <v>#N/A</v>
      </c>
      <c r="E382" s="56" t="e">
        <f>NA()</f>
        <v>#N/A</v>
      </c>
      <c r="F382" s="56" t="e">
        <f>NA()</f>
        <v>#N/A</v>
      </c>
      <c r="G382" s="56" t="e">
        <f>NA()</f>
        <v>#N/A</v>
      </c>
      <c r="H382" s="56">
        <f>-capex_ship5*10^6+$H250</f>
        <v>0</v>
      </c>
      <c r="I382" s="56">
        <f>-capex_ship5*10^6+$H250+NPV(dr_lo_ship5,$I250:I250)</f>
        <v>0</v>
      </c>
      <c r="J382" s="56">
        <f>-capex_ship5*10^6+$H250+NPV(dr_lo_ship5,$I250:J250)</f>
        <v>0</v>
      </c>
      <c r="K382" s="56">
        <f>-capex_ship5*10^6+$H250+NPV(dr_lo_ship5,$I250:K250)</f>
        <v>0</v>
      </c>
      <c r="L382" s="56">
        <f>-capex_ship5*10^6+$H250+NPV(dr_lo_ship5,$I250:L250)</f>
        <v>0</v>
      </c>
      <c r="M382" s="56">
        <f>-capex_ship5*10^6+$H250+NPV(dr_lo_ship5,$I250:M250)</f>
        <v>0</v>
      </c>
      <c r="N382" s="56">
        <f>-capex_ship5*10^6+$H250+NPV(dr_lo_ship5,$I250:N250)</f>
        <v>0</v>
      </c>
      <c r="O382" s="56">
        <f>-capex_ship5*10^6+$H250+NPV(dr_lo_ship5,$I250:O250)</f>
        <v>0</v>
      </c>
      <c r="P382" s="56">
        <f>-capex_ship5*10^6+$H250+NPV(dr_lo_ship5,$I250:P250)</f>
        <v>0</v>
      </c>
      <c r="Q382" s="56">
        <f>-capex_ship5*10^6+$H250+NPV(dr_lo_ship5,$I250:Q250)</f>
        <v>0</v>
      </c>
      <c r="R382" s="56">
        <f>-capex_ship5*10^6+$H250+NPV(dr_lo_ship5,$I250:R250)</f>
        <v>0</v>
      </c>
      <c r="S382" s="56">
        <f>-capex_ship5*10^6+$H250+NPV(dr_lo_ship5,$I250:S250)</f>
        <v>0</v>
      </c>
      <c r="T382" s="56">
        <f>-capex_ship5*10^6+$H250+NPV(dr_lo_ship5,$I250:T250)</f>
        <v>0</v>
      </c>
      <c r="U382" s="56">
        <f>-capex_ship5*10^6+$H250+NPV(dr_lo_ship5,$I250:U250)</f>
        <v>0</v>
      </c>
      <c r="V382" s="56">
        <f>-capex_ship5*10^6+$H250+NPV(dr_lo_ship5,$I250:V250)</f>
        <v>0</v>
      </c>
      <c r="W382" s="56">
        <f>-capex_ship5*10^6+$H250+NPV(dr_lo_ship5,$I250:W250)</f>
        <v>0</v>
      </c>
      <c r="X382" s="56">
        <f>-capex_ship5*10^6+$H250+NPV(dr_lo_ship5,$I250:X250)</f>
        <v>0</v>
      </c>
      <c r="Y382" s="56">
        <f>-capex_ship5*10^6+$H250+NPV(dr_lo_ship5,$I250:Y250)</f>
        <v>0</v>
      </c>
      <c r="Z382" s="56">
        <f>-capex_ship5*10^6+$H250+NPV(dr_lo_ship5,$I250:Z250)</f>
        <v>0</v>
      </c>
    </row>
    <row r="383" spans="1:32" x14ac:dyDescent="0.2">
      <c r="A383" s="248"/>
      <c r="B383" s="248"/>
      <c r="C383" s="30" t="s">
        <v>18</v>
      </c>
      <c r="D383" s="60" t="e">
        <f>NA()</f>
        <v>#N/A</v>
      </c>
      <c r="E383" s="60" t="e">
        <f>NA()</f>
        <v>#N/A</v>
      </c>
      <c r="F383" s="60" t="e">
        <f>NA()</f>
        <v>#N/A</v>
      </c>
      <c r="G383" s="60" t="e">
        <f>NA()</f>
        <v>#N/A</v>
      </c>
      <c r="H383" s="60">
        <f>-capex_ship5*10^6+$H251</f>
        <v>0</v>
      </c>
      <c r="I383" s="60">
        <f>-capex_ship5*10^6+$H251+NPV(dr_med_ship5,$I251:I251)</f>
        <v>0</v>
      </c>
      <c r="J383" s="60">
        <f>-capex_ship5*10^6+$H251+NPV(dr_med_ship5,$I251:J251)</f>
        <v>0</v>
      </c>
      <c r="K383" s="60">
        <f>-capex_ship5*10^6+$H251+NPV(dr_med_ship5,$I251:K251)</f>
        <v>0</v>
      </c>
      <c r="L383" s="60">
        <f>-capex_ship5*10^6+$H251+NPV(dr_med_ship5,$I251:L251)</f>
        <v>0</v>
      </c>
      <c r="M383" s="60">
        <f>-capex_ship5*10^6+$H251+NPV(dr_med_ship5,$I251:M251)</f>
        <v>0</v>
      </c>
      <c r="N383" s="60">
        <f>-capex_ship5*10^6+$H251+NPV(dr_med_ship5,$I251:N251)</f>
        <v>0</v>
      </c>
      <c r="O383" s="60">
        <f>-capex_ship5*10^6+$H251+NPV(dr_med_ship5,$I251:O251)</f>
        <v>0</v>
      </c>
      <c r="P383" s="60">
        <f>-capex_ship5*10^6+$H251+NPV(dr_med_ship5,$I251:P251)</f>
        <v>0</v>
      </c>
      <c r="Q383" s="60">
        <f>-capex_ship5*10^6+$H251+NPV(dr_med_ship5,$I251:Q251)</f>
        <v>0</v>
      </c>
      <c r="R383" s="60">
        <f>-capex_ship5*10^6+$H251+NPV(dr_med_ship5,$I251:R251)</f>
        <v>0</v>
      </c>
      <c r="S383" s="60">
        <f>-capex_ship5*10^6+$H251+NPV(dr_med_ship5,$I251:S251)</f>
        <v>0</v>
      </c>
      <c r="T383" s="60">
        <f>-capex_ship5*10^6+$H251+NPV(dr_med_ship5,$I251:T251)</f>
        <v>0</v>
      </c>
      <c r="U383" s="60">
        <f>-capex_ship5*10^6+$H251+NPV(dr_med_ship5,$I251:U251)</f>
        <v>0</v>
      </c>
      <c r="V383" s="60">
        <f>-capex_ship5*10^6+$H251+NPV(dr_med_ship5,$I251:V251)</f>
        <v>0</v>
      </c>
      <c r="W383" s="60">
        <f>-capex_ship5*10^6+$H251+NPV(dr_med_ship5,$I251:W251)</f>
        <v>0</v>
      </c>
      <c r="X383" s="60">
        <f>-capex_ship5*10^6+$H251+NPV(dr_med_ship5,$I251:X251)</f>
        <v>0</v>
      </c>
      <c r="Y383" s="60">
        <f>-capex_ship5*10^6+$H251+NPV(dr_med_ship5,$I251:Y251)</f>
        <v>0</v>
      </c>
      <c r="Z383" s="60">
        <f>-capex_ship5*10^6+$H251+NPV(dr_med_ship5,$I251:Z251)</f>
        <v>0</v>
      </c>
    </row>
    <row r="384" spans="1:32" x14ac:dyDescent="0.2">
      <c r="A384" s="248"/>
      <c r="B384" s="248"/>
      <c r="C384" s="30" t="s">
        <v>19</v>
      </c>
      <c r="D384" s="63" t="e">
        <f>NA()</f>
        <v>#N/A</v>
      </c>
      <c r="E384" s="63" t="e">
        <f>NA()</f>
        <v>#N/A</v>
      </c>
      <c r="F384" s="63" t="e">
        <f>NA()</f>
        <v>#N/A</v>
      </c>
      <c r="G384" s="63" t="e">
        <f>NA()</f>
        <v>#N/A</v>
      </c>
      <c r="H384" s="63">
        <f>-capex_ship5*10^6+$H252</f>
        <v>0</v>
      </c>
      <c r="I384" s="63">
        <f>-capex_ship5*10^6+$H252+NPV(dr_hi_ship5,$I252:I252)</f>
        <v>0</v>
      </c>
      <c r="J384" s="63">
        <f>-capex_ship5*10^6+$H252+NPV(dr_hi_ship5,$I252:J252)</f>
        <v>0</v>
      </c>
      <c r="K384" s="63">
        <f>-capex_ship5*10^6+$H252+NPV(dr_hi_ship5,$I252:K252)</f>
        <v>0</v>
      </c>
      <c r="L384" s="63">
        <f>-capex_ship5*10^6+$H252+NPV(dr_hi_ship5,$I252:L252)</f>
        <v>0</v>
      </c>
      <c r="M384" s="63">
        <f>-capex_ship5*10^6+$H252+NPV(dr_hi_ship5,$I252:M252)</f>
        <v>0</v>
      </c>
      <c r="N384" s="63">
        <f>-capex_ship5*10^6+$H252+NPV(dr_hi_ship5,$I252:N252)</f>
        <v>0</v>
      </c>
      <c r="O384" s="63">
        <f>-capex_ship5*10^6+$H252+NPV(dr_hi_ship5,$I252:O252)</f>
        <v>0</v>
      </c>
      <c r="P384" s="63">
        <f>-capex_ship5*10^6+$H252+NPV(dr_hi_ship5,$I252:P252)</f>
        <v>0</v>
      </c>
      <c r="Q384" s="63">
        <f>-capex_ship5*10^6+$H252+NPV(dr_hi_ship5,$I252:Q252)</f>
        <v>0</v>
      </c>
      <c r="R384" s="63">
        <f>-capex_ship5*10^6+$H252+NPV(dr_hi_ship5,$I252:R252)</f>
        <v>0</v>
      </c>
      <c r="S384" s="63">
        <f>-capex_ship5*10^6+$H252+NPV(dr_hi_ship5,$I252:S252)</f>
        <v>0</v>
      </c>
      <c r="T384" s="63">
        <f>-capex_ship5*10^6+$H252+NPV(dr_hi_ship5,$I252:T252)</f>
        <v>0</v>
      </c>
      <c r="U384" s="63">
        <f>-capex_ship5*10^6+$H252+NPV(dr_hi_ship5,$I252:U252)</f>
        <v>0</v>
      </c>
      <c r="V384" s="63">
        <f>-capex_ship5*10^6+$H252+NPV(dr_hi_ship5,$I252:V252)</f>
        <v>0</v>
      </c>
      <c r="W384" s="63">
        <f>-capex_ship5*10^6+$H252+NPV(dr_hi_ship5,$I252:W252)</f>
        <v>0</v>
      </c>
      <c r="X384" s="63">
        <f>-capex_ship5*10^6+$H252+NPV(dr_hi_ship5,$I252:X252)</f>
        <v>0</v>
      </c>
      <c r="Y384" s="63">
        <f>-capex_ship5*10^6+$H252+NPV(dr_hi_ship5,$I252:Y252)</f>
        <v>0</v>
      </c>
      <c r="Z384" s="63">
        <f>-capex_ship5*10^6+$H252+NPV(dr_hi_ship5,$I252:Z252)</f>
        <v>0</v>
      </c>
    </row>
    <row r="385" spans="1:32" x14ac:dyDescent="0.2">
      <c r="A385" s="248"/>
      <c r="B385" s="248">
        <f>ship6</f>
        <v>0</v>
      </c>
      <c r="C385" s="30" t="s">
        <v>17</v>
      </c>
      <c r="D385" s="56" t="e">
        <f>NA()</f>
        <v>#N/A</v>
      </c>
      <c r="E385" s="56" t="e">
        <f>NA()</f>
        <v>#N/A</v>
      </c>
      <c r="F385" s="56" t="e">
        <f>NA()</f>
        <v>#N/A</v>
      </c>
      <c r="G385" s="56" t="e">
        <f>NA()</f>
        <v>#N/A</v>
      </c>
      <c r="H385" s="56">
        <f>-capex_ship6*10^6+$H253</f>
        <v>0</v>
      </c>
      <c r="I385" s="56">
        <f>-capex_ship6*10^6+$H253+NPV(dr_lo_ship6,$I253:I253)</f>
        <v>0</v>
      </c>
      <c r="J385" s="56">
        <f>-capex_ship6*10^6+$H253+NPV(dr_lo_ship6,$I253:J253)</f>
        <v>0</v>
      </c>
      <c r="K385" s="56">
        <f>-capex_ship6*10^6+$H253+NPV(dr_lo_ship6,$I253:K253)</f>
        <v>0</v>
      </c>
      <c r="L385" s="56">
        <f>-capex_ship6*10^6+$H253+NPV(dr_lo_ship6,$I253:L253)</f>
        <v>0</v>
      </c>
      <c r="M385" s="56">
        <f>-capex_ship6*10^6+$H253+NPV(dr_lo_ship6,$I253:M253)</f>
        <v>0</v>
      </c>
      <c r="N385" s="56">
        <f>-capex_ship6*10^6+$H253+NPV(dr_lo_ship6,$I253:N253)</f>
        <v>0</v>
      </c>
      <c r="O385" s="56">
        <f>-capex_ship6*10^6+$H253+NPV(dr_lo_ship6,$I253:O253)</f>
        <v>0</v>
      </c>
      <c r="P385" s="56">
        <f>-capex_ship6*10^6+$H253+NPV(dr_lo_ship6,$I253:P253)</f>
        <v>0</v>
      </c>
      <c r="Q385" s="56">
        <f>-capex_ship6*10^6+$H253+NPV(dr_lo_ship6,$I253:Q253)</f>
        <v>0</v>
      </c>
      <c r="R385" s="56">
        <f>-capex_ship6*10^6+$H253+NPV(dr_lo_ship6,$I253:R253)</f>
        <v>0</v>
      </c>
      <c r="S385" s="56">
        <f>-capex_ship6*10^6+$H253+NPV(dr_lo_ship6,$I253:S253)</f>
        <v>0</v>
      </c>
      <c r="T385" s="56">
        <f>-capex_ship6*10^6+$H253+NPV(dr_lo_ship6,$I253:T253)</f>
        <v>0</v>
      </c>
      <c r="U385" s="56">
        <f>-capex_ship6*10^6+$H253+NPV(dr_lo_ship6,$I253:U253)</f>
        <v>0</v>
      </c>
      <c r="V385" s="56">
        <f>-capex_ship6*10^6+$H253+NPV(dr_lo_ship6,$I253:V253)</f>
        <v>0</v>
      </c>
      <c r="W385" s="56">
        <f>-capex_ship6*10^6+$H253+NPV(dr_lo_ship6,$I253:W253)</f>
        <v>0</v>
      </c>
      <c r="X385" s="56">
        <f>-capex_ship6*10^6+$H253+NPV(dr_lo_ship6,$I253:X253)</f>
        <v>0</v>
      </c>
      <c r="Y385" s="56">
        <f>-capex_ship6*10^6+$H253+NPV(dr_lo_ship6,$I253:Y253)</f>
        <v>0</v>
      </c>
      <c r="Z385" s="56">
        <f>-capex_ship6*10^6+$H253+NPV(dr_lo_ship6,$I253:Z253)</f>
        <v>0</v>
      </c>
    </row>
    <row r="386" spans="1:32" x14ac:dyDescent="0.2">
      <c r="A386" s="248"/>
      <c r="B386" s="248"/>
      <c r="C386" s="30" t="s">
        <v>18</v>
      </c>
      <c r="D386" s="60" t="e">
        <f>NA()</f>
        <v>#N/A</v>
      </c>
      <c r="E386" s="60" t="e">
        <f>NA()</f>
        <v>#N/A</v>
      </c>
      <c r="F386" s="60" t="e">
        <f>NA()</f>
        <v>#N/A</v>
      </c>
      <c r="G386" s="60" t="e">
        <f>NA()</f>
        <v>#N/A</v>
      </c>
      <c r="H386" s="60">
        <f>-capex_ship6*10^6+$H254</f>
        <v>0</v>
      </c>
      <c r="I386" s="60">
        <f>-capex_ship6*10^6+$H254+NPV(dr_med_ship6,$I254:I254)</f>
        <v>0</v>
      </c>
      <c r="J386" s="60">
        <f>-capex_ship6*10^6+$H254+NPV(dr_med_ship6,$I254:J254)</f>
        <v>0</v>
      </c>
      <c r="K386" s="60">
        <f>-capex_ship6*10^6+$H254+NPV(dr_med_ship6,$I254:K254)</f>
        <v>0</v>
      </c>
      <c r="L386" s="60">
        <f>-capex_ship6*10^6+$H254+NPV(dr_med_ship6,$I254:L254)</f>
        <v>0</v>
      </c>
      <c r="M386" s="60">
        <f>-capex_ship6*10^6+$H254+NPV(dr_med_ship6,$I254:M254)</f>
        <v>0</v>
      </c>
      <c r="N386" s="60">
        <f>-capex_ship6*10^6+$H254+NPV(dr_med_ship6,$I254:N254)</f>
        <v>0</v>
      </c>
      <c r="O386" s="60">
        <f>-capex_ship6*10^6+$H254+NPV(dr_med_ship6,$I254:O254)</f>
        <v>0</v>
      </c>
      <c r="P386" s="60">
        <f>-capex_ship6*10^6+$H254+NPV(dr_med_ship6,$I254:P254)</f>
        <v>0</v>
      </c>
      <c r="Q386" s="60">
        <f>-capex_ship6*10^6+$H254+NPV(dr_med_ship6,$I254:Q254)</f>
        <v>0</v>
      </c>
      <c r="R386" s="60">
        <f>-capex_ship6*10^6+$H254+NPV(dr_med_ship6,$I254:R254)</f>
        <v>0</v>
      </c>
      <c r="S386" s="60">
        <f>-capex_ship6*10^6+$H254+NPV(dr_med_ship6,$I254:S254)</f>
        <v>0</v>
      </c>
      <c r="T386" s="60">
        <f>-capex_ship6*10^6+$H254+NPV(dr_med_ship6,$I254:T254)</f>
        <v>0</v>
      </c>
      <c r="U386" s="60">
        <f>-capex_ship6*10^6+$H254+NPV(dr_med_ship6,$I254:U254)</f>
        <v>0</v>
      </c>
      <c r="V386" s="60">
        <f>-capex_ship6*10^6+$H254+NPV(dr_med_ship6,$I254:V254)</f>
        <v>0</v>
      </c>
      <c r="W386" s="60">
        <f>-capex_ship6*10^6+$H254+NPV(dr_med_ship6,$I254:W254)</f>
        <v>0</v>
      </c>
      <c r="X386" s="60">
        <f>-capex_ship6*10^6+$H254+NPV(dr_med_ship6,$I254:X254)</f>
        <v>0</v>
      </c>
      <c r="Y386" s="60">
        <f>-capex_ship6*10^6+$H254+NPV(dr_med_ship6,$I254:Y254)</f>
        <v>0</v>
      </c>
      <c r="Z386" s="60">
        <f>-capex_ship6*10^6+$H254+NPV(dr_med_ship6,$I254:Z254)</f>
        <v>0</v>
      </c>
    </row>
    <row r="387" spans="1:32" x14ac:dyDescent="0.2">
      <c r="A387" s="248"/>
      <c r="B387" s="248"/>
      <c r="C387" s="30" t="s">
        <v>19</v>
      </c>
      <c r="D387" s="63" t="e">
        <f>NA()</f>
        <v>#N/A</v>
      </c>
      <c r="E387" s="63" t="e">
        <f>NA()</f>
        <v>#N/A</v>
      </c>
      <c r="F387" s="63" t="e">
        <f>NA()</f>
        <v>#N/A</v>
      </c>
      <c r="G387" s="63" t="e">
        <f>NA()</f>
        <v>#N/A</v>
      </c>
      <c r="H387" s="63">
        <f>-capex_ship6*10^6+$H255</f>
        <v>0</v>
      </c>
      <c r="I387" s="63">
        <f>-capex_ship6*10^6+$H255+NPV(dr_hi_ship6,$I255:I255)</f>
        <v>0</v>
      </c>
      <c r="J387" s="63">
        <f>-capex_ship6*10^6+$H255+NPV(dr_hi_ship6,$I255:J255)</f>
        <v>0</v>
      </c>
      <c r="K387" s="63">
        <f>-capex_ship6*10^6+$H255+NPV(dr_hi_ship6,$I255:K255)</f>
        <v>0</v>
      </c>
      <c r="L387" s="63">
        <f>-capex_ship6*10^6+$H255+NPV(dr_hi_ship6,$I255:L255)</f>
        <v>0</v>
      </c>
      <c r="M387" s="63">
        <f>-capex_ship6*10^6+$H255+NPV(dr_hi_ship6,$I255:M255)</f>
        <v>0</v>
      </c>
      <c r="N387" s="63">
        <f>-capex_ship6*10^6+$H255+NPV(dr_hi_ship6,$I255:N255)</f>
        <v>0</v>
      </c>
      <c r="O387" s="63">
        <f>-capex_ship6*10^6+$H255+NPV(dr_hi_ship6,$I255:O255)</f>
        <v>0</v>
      </c>
      <c r="P387" s="63">
        <f>-capex_ship6*10^6+$H255+NPV(dr_hi_ship6,$I255:P255)</f>
        <v>0</v>
      </c>
      <c r="Q387" s="63">
        <f>-capex_ship6*10^6+$H255+NPV(dr_hi_ship6,$I255:Q255)</f>
        <v>0</v>
      </c>
      <c r="R387" s="63">
        <f>-capex_ship6*10^6+$H255+NPV(dr_hi_ship6,$I255:R255)</f>
        <v>0</v>
      </c>
      <c r="S387" s="63">
        <f>-capex_ship6*10^6+$H255+NPV(dr_hi_ship6,$I255:S255)</f>
        <v>0</v>
      </c>
      <c r="T387" s="63">
        <f>-capex_ship6*10^6+$H255+NPV(dr_hi_ship6,$I255:T255)</f>
        <v>0</v>
      </c>
      <c r="U387" s="63">
        <f>-capex_ship6*10^6+$H255+NPV(dr_hi_ship6,$I255:U255)</f>
        <v>0</v>
      </c>
      <c r="V387" s="63">
        <f>-capex_ship6*10^6+$H255+NPV(dr_hi_ship6,$I255:V255)</f>
        <v>0</v>
      </c>
      <c r="W387" s="63">
        <f>-capex_ship6*10^6+$H255+NPV(dr_hi_ship6,$I255:W255)</f>
        <v>0</v>
      </c>
      <c r="X387" s="63">
        <f>-capex_ship6*10^6+$H255+NPV(dr_hi_ship6,$I255:X255)</f>
        <v>0</v>
      </c>
      <c r="Y387" s="63">
        <f>-capex_ship6*10^6+$H255+NPV(dr_hi_ship6,$I255:Y255)</f>
        <v>0</v>
      </c>
      <c r="Z387" s="63">
        <f>-capex_ship6*10^6+$H255+NPV(dr_hi_ship6,$I255:Z255)</f>
        <v>0</v>
      </c>
    </row>
    <row r="388" spans="1:32" ht="12.75" customHeight="1" x14ac:dyDescent="0.2">
      <c r="A388" s="248" t="s">
        <v>122</v>
      </c>
      <c r="B388" s="248">
        <f>ship_plot</f>
        <v>0</v>
      </c>
      <c r="C388" s="30" t="s">
        <v>17</v>
      </c>
      <c r="D388" s="56" t="e">
        <f t="shared" ref="D388:Z388" si="285">IF(ship_plot=ship1,D370,IF(ship_plot=ship2,D373,IF(ship_plot=ship3,D376,IF(ship_plot=ship4,D379,IF(ship_plot=ship5,D382,IF(ship_plot=ship6,D385,"error"))))))</f>
        <v>#N/A</v>
      </c>
      <c r="E388" s="56" t="e">
        <f t="shared" si="285"/>
        <v>#N/A</v>
      </c>
      <c r="F388" s="56" t="e">
        <f t="shared" si="285"/>
        <v>#N/A</v>
      </c>
      <c r="G388" s="56" t="e">
        <f t="shared" si="285"/>
        <v>#N/A</v>
      </c>
      <c r="H388" s="56">
        <f t="shared" si="285"/>
        <v>0</v>
      </c>
      <c r="I388" s="56">
        <f t="shared" si="285"/>
        <v>0</v>
      </c>
      <c r="J388" s="56">
        <f t="shared" si="285"/>
        <v>0</v>
      </c>
      <c r="K388" s="56">
        <f t="shared" si="285"/>
        <v>0</v>
      </c>
      <c r="L388" s="56">
        <f t="shared" si="285"/>
        <v>0</v>
      </c>
      <c r="M388" s="56">
        <f t="shared" si="285"/>
        <v>0</v>
      </c>
      <c r="N388" s="56">
        <f t="shared" si="285"/>
        <v>0</v>
      </c>
      <c r="O388" s="56">
        <f t="shared" si="285"/>
        <v>0</v>
      </c>
      <c r="P388" s="56">
        <f t="shared" si="285"/>
        <v>0</v>
      </c>
      <c r="Q388" s="56">
        <f t="shared" si="285"/>
        <v>0</v>
      </c>
      <c r="R388" s="56">
        <f t="shared" si="285"/>
        <v>0</v>
      </c>
      <c r="S388" s="56">
        <f t="shared" si="285"/>
        <v>0</v>
      </c>
      <c r="T388" s="56">
        <f t="shared" si="285"/>
        <v>0</v>
      </c>
      <c r="U388" s="56">
        <f t="shared" si="285"/>
        <v>0</v>
      </c>
      <c r="V388" s="56">
        <f t="shared" si="285"/>
        <v>0</v>
      </c>
      <c r="W388" s="56">
        <f t="shared" si="285"/>
        <v>0</v>
      </c>
      <c r="X388" s="56">
        <f t="shared" si="285"/>
        <v>0</v>
      </c>
      <c r="Y388" s="56">
        <f t="shared" si="285"/>
        <v>0</v>
      </c>
      <c r="Z388" s="56">
        <f t="shared" si="285"/>
        <v>0</v>
      </c>
    </row>
    <row r="389" spans="1:32" x14ac:dyDescent="0.2">
      <c r="A389" s="248"/>
      <c r="B389" s="248"/>
      <c r="C389" s="30" t="s">
        <v>18</v>
      </c>
      <c r="D389" s="60" t="e">
        <f t="shared" ref="D389:Z389" si="286">IF(ship_plot=ship1,D371,IF(ship_plot=ship2,D374,IF(ship_plot=ship3,D377,IF(ship_plot=ship4,D380,IF(ship_plot=ship5,D383,IF(ship_plot=ship6,D386,"error"))))))</f>
        <v>#N/A</v>
      </c>
      <c r="E389" s="60" t="e">
        <f t="shared" si="286"/>
        <v>#N/A</v>
      </c>
      <c r="F389" s="60" t="e">
        <f t="shared" si="286"/>
        <v>#N/A</v>
      </c>
      <c r="G389" s="60" t="e">
        <f t="shared" si="286"/>
        <v>#N/A</v>
      </c>
      <c r="H389" s="60">
        <f t="shared" si="286"/>
        <v>0</v>
      </c>
      <c r="I389" s="60">
        <f t="shared" si="286"/>
        <v>0</v>
      </c>
      <c r="J389" s="60">
        <f t="shared" si="286"/>
        <v>0</v>
      </c>
      <c r="K389" s="60">
        <f t="shared" si="286"/>
        <v>0</v>
      </c>
      <c r="L389" s="60">
        <f t="shared" si="286"/>
        <v>0</v>
      </c>
      <c r="M389" s="60">
        <f t="shared" si="286"/>
        <v>0</v>
      </c>
      <c r="N389" s="60">
        <f t="shared" si="286"/>
        <v>0</v>
      </c>
      <c r="O389" s="60">
        <f t="shared" si="286"/>
        <v>0</v>
      </c>
      <c r="P389" s="60">
        <f t="shared" si="286"/>
        <v>0</v>
      </c>
      <c r="Q389" s="60">
        <f t="shared" si="286"/>
        <v>0</v>
      </c>
      <c r="R389" s="60">
        <f t="shared" si="286"/>
        <v>0</v>
      </c>
      <c r="S389" s="60">
        <f t="shared" si="286"/>
        <v>0</v>
      </c>
      <c r="T389" s="60">
        <f t="shared" si="286"/>
        <v>0</v>
      </c>
      <c r="U389" s="60">
        <f t="shared" si="286"/>
        <v>0</v>
      </c>
      <c r="V389" s="60">
        <f t="shared" si="286"/>
        <v>0</v>
      </c>
      <c r="W389" s="60">
        <f t="shared" si="286"/>
        <v>0</v>
      </c>
      <c r="X389" s="60">
        <f t="shared" si="286"/>
        <v>0</v>
      </c>
      <c r="Y389" s="60">
        <f t="shared" si="286"/>
        <v>0</v>
      </c>
      <c r="Z389" s="60">
        <f t="shared" si="286"/>
        <v>0</v>
      </c>
    </row>
    <row r="390" spans="1:32" x14ac:dyDescent="0.2">
      <c r="A390" s="248"/>
      <c r="B390" s="248"/>
      <c r="C390" s="30" t="s">
        <v>19</v>
      </c>
      <c r="D390" s="63" t="e">
        <f t="shared" ref="D390:Z390" si="287">IF(ship_plot=ship1,D372,IF(ship_plot=ship2,D375,IF(ship_plot=ship3,D378,IF(ship_plot=ship4,D381,IF(ship_plot=ship5,D384,IF(ship_plot=ship6,D387,"error"))))))</f>
        <v>#N/A</v>
      </c>
      <c r="E390" s="63" t="e">
        <f t="shared" si="287"/>
        <v>#N/A</v>
      </c>
      <c r="F390" s="63" t="e">
        <f t="shared" si="287"/>
        <v>#N/A</v>
      </c>
      <c r="G390" s="63" t="e">
        <f t="shared" si="287"/>
        <v>#N/A</v>
      </c>
      <c r="H390" s="63">
        <f t="shared" si="287"/>
        <v>0</v>
      </c>
      <c r="I390" s="63">
        <f t="shared" si="287"/>
        <v>0</v>
      </c>
      <c r="J390" s="63">
        <f t="shared" si="287"/>
        <v>0</v>
      </c>
      <c r="K390" s="63">
        <f t="shared" si="287"/>
        <v>0</v>
      </c>
      <c r="L390" s="63">
        <f t="shared" si="287"/>
        <v>0</v>
      </c>
      <c r="M390" s="63">
        <f t="shared" si="287"/>
        <v>0</v>
      </c>
      <c r="N390" s="63">
        <f t="shared" si="287"/>
        <v>0</v>
      </c>
      <c r="O390" s="63">
        <f t="shared" si="287"/>
        <v>0</v>
      </c>
      <c r="P390" s="63">
        <f t="shared" si="287"/>
        <v>0</v>
      </c>
      <c r="Q390" s="63">
        <f t="shared" si="287"/>
        <v>0</v>
      </c>
      <c r="R390" s="63">
        <f t="shared" si="287"/>
        <v>0</v>
      </c>
      <c r="S390" s="63">
        <f t="shared" si="287"/>
        <v>0</v>
      </c>
      <c r="T390" s="63">
        <f t="shared" si="287"/>
        <v>0</v>
      </c>
      <c r="U390" s="63">
        <f t="shared" si="287"/>
        <v>0</v>
      </c>
      <c r="V390" s="63">
        <f t="shared" si="287"/>
        <v>0</v>
      </c>
      <c r="W390" s="63">
        <f t="shared" si="287"/>
        <v>0</v>
      </c>
      <c r="X390" s="63">
        <f t="shared" si="287"/>
        <v>0</v>
      </c>
      <c r="Y390" s="63">
        <f t="shared" si="287"/>
        <v>0</v>
      </c>
      <c r="Z390" s="63">
        <f t="shared" si="287"/>
        <v>0</v>
      </c>
    </row>
    <row r="391" spans="1:32" ht="12.75" customHeight="1" x14ac:dyDescent="0.2">
      <c r="A391" s="76" t="s">
        <v>124</v>
      </c>
      <c r="B391" s="76">
        <f>ship_plot</f>
        <v>0</v>
      </c>
      <c r="C391" s="77">
        <f>scenario_display</f>
        <v>0</v>
      </c>
      <c r="D391" s="78" t="e">
        <f t="shared" ref="D391:Z391" si="288">IF(scenario_display="Low",D388,IF(scenario_display="Medium",D389,D390))</f>
        <v>#N/A</v>
      </c>
      <c r="E391" s="78" t="e">
        <f t="shared" si="288"/>
        <v>#N/A</v>
      </c>
      <c r="F391" s="78" t="e">
        <f t="shared" si="288"/>
        <v>#N/A</v>
      </c>
      <c r="G391" s="78" t="e">
        <f t="shared" si="288"/>
        <v>#N/A</v>
      </c>
      <c r="H391" s="78">
        <f t="shared" si="288"/>
        <v>0</v>
      </c>
      <c r="I391" s="78">
        <f t="shared" si="288"/>
        <v>0</v>
      </c>
      <c r="J391" s="78">
        <f t="shared" si="288"/>
        <v>0</v>
      </c>
      <c r="K391" s="78">
        <f t="shared" si="288"/>
        <v>0</v>
      </c>
      <c r="L391" s="78">
        <f t="shared" si="288"/>
        <v>0</v>
      </c>
      <c r="M391" s="78">
        <f t="shared" si="288"/>
        <v>0</v>
      </c>
      <c r="N391" s="78">
        <f t="shared" si="288"/>
        <v>0</v>
      </c>
      <c r="O391" s="78">
        <f t="shared" si="288"/>
        <v>0</v>
      </c>
      <c r="P391" s="78">
        <f t="shared" si="288"/>
        <v>0</v>
      </c>
      <c r="Q391" s="78">
        <f t="shared" si="288"/>
        <v>0</v>
      </c>
      <c r="R391" s="78">
        <f t="shared" si="288"/>
        <v>0</v>
      </c>
      <c r="S391" s="78">
        <f t="shared" si="288"/>
        <v>0</v>
      </c>
      <c r="T391" s="78">
        <f t="shared" si="288"/>
        <v>0</v>
      </c>
      <c r="U391" s="78">
        <f t="shared" si="288"/>
        <v>0</v>
      </c>
      <c r="V391" s="78">
        <f t="shared" si="288"/>
        <v>0</v>
      </c>
      <c r="W391" s="78">
        <f t="shared" si="288"/>
        <v>0</v>
      </c>
      <c r="X391" s="78">
        <f t="shared" si="288"/>
        <v>0</v>
      </c>
      <c r="Y391" s="78">
        <f t="shared" si="288"/>
        <v>0</v>
      </c>
      <c r="Z391" s="78">
        <f t="shared" si="288"/>
        <v>0</v>
      </c>
    </row>
    <row r="392" spans="1:32" x14ac:dyDescent="0.2">
      <c r="A392" s="248" t="s">
        <v>125</v>
      </c>
      <c r="B392" s="248">
        <f>ship1</f>
        <v>0</v>
      </c>
      <c r="C392" s="30" t="s">
        <v>17</v>
      </c>
      <c r="D392" s="56" t="e">
        <f>NA()</f>
        <v>#N/A</v>
      </c>
      <c r="E392" s="56" t="e">
        <f>NA()</f>
        <v>#N/A</v>
      </c>
      <c r="F392" s="56" t="e">
        <f>NA()</f>
        <v>#N/A</v>
      </c>
      <c r="G392" s="56" t="e">
        <f>NA()</f>
        <v>#N/A</v>
      </c>
      <c r="H392" s="56" t="e">
        <f>NA()</f>
        <v>#N/A</v>
      </c>
      <c r="I392" s="56">
        <f>-capex_ship1*10^6+$I238</f>
        <v>0</v>
      </c>
      <c r="J392" s="56">
        <f>-capex_ship1*10^6+$I238+NPV(dr_lo_ship1,$J238:J238)</f>
        <v>0</v>
      </c>
      <c r="K392" s="56">
        <f>-capex_ship1*10^6+$I238+NPV(dr_lo_ship1,$J238:K238)</f>
        <v>0</v>
      </c>
      <c r="L392" s="56">
        <f>-capex_ship1*10^6+$I238+NPV(dr_lo_ship1,$J238:L238)</f>
        <v>0</v>
      </c>
      <c r="M392" s="56">
        <f>-capex_ship1*10^6+$I238+NPV(dr_lo_ship1,$J238:M238)</f>
        <v>0</v>
      </c>
      <c r="N392" s="56">
        <f>-capex_ship1*10^6+$I238+NPV(dr_lo_ship1,$J238:N238)</f>
        <v>0</v>
      </c>
      <c r="O392" s="56">
        <f>-capex_ship1*10^6+$I238+NPV(dr_lo_ship1,$J238:O238)</f>
        <v>0</v>
      </c>
      <c r="P392" s="56">
        <f>-capex_ship1*10^6+$I238+NPV(dr_lo_ship1,$J238:P238)</f>
        <v>0</v>
      </c>
      <c r="Q392" s="56">
        <f>-capex_ship1*10^6+$I238+NPV(dr_lo_ship1,$J238:Q238)</f>
        <v>0</v>
      </c>
      <c r="R392" s="56">
        <f>-capex_ship1*10^6+$I238+NPV(dr_lo_ship1,$J238:R238)</f>
        <v>0</v>
      </c>
      <c r="S392" s="56">
        <f>-capex_ship1*10^6+$I238+NPV(dr_lo_ship1,$J238:S238)</f>
        <v>0</v>
      </c>
      <c r="T392" s="56">
        <f>-capex_ship1*10^6+$I238+NPV(dr_lo_ship1,$J238:T238)</f>
        <v>0</v>
      </c>
      <c r="U392" s="56">
        <f>-capex_ship1*10^6+$I238+NPV(dr_lo_ship1,$J238:U238)</f>
        <v>0</v>
      </c>
      <c r="V392" s="56">
        <f>-capex_ship1*10^6+$I238+NPV(dr_lo_ship1,$J238:V238)</f>
        <v>0</v>
      </c>
      <c r="W392" s="56">
        <f>-capex_ship1*10^6+$I238+NPV(dr_lo_ship1,$J238:W238)</f>
        <v>0</v>
      </c>
      <c r="X392" s="56">
        <f>-capex_ship1*10^6+$I238+NPV(dr_lo_ship1,$J238:X238)</f>
        <v>0</v>
      </c>
      <c r="Y392" s="56">
        <f>-capex_ship1*10^6+$I238+NPV(dr_lo_ship1,$J238:Y238)</f>
        <v>0</v>
      </c>
      <c r="Z392" s="56">
        <f>-capex_ship1*10^6+$I238+NPV(dr_lo_ship1,$J238:Z238)</f>
        <v>0</v>
      </c>
    </row>
    <row r="393" spans="1:32" x14ac:dyDescent="0.2">
      <c r="A393" s="248"/>
      <c r="B393" s="248"/>
      <c r="C393" s="30" t="s">
        <v>18</v>
      </c>
      <c r="D393" s="60" t="e">
        <f>NA()</f>
        <v>#N/A</v>
      </c>
      <c r="E393" s="60" t="e">
        <f>NA()</f>
        <v>#N/A</v>
      </c>
      <c r="F393" s="60" t="e">
        <f>NA()</f>
        <v>#N/A</v>
      </c>
      <c r="G393" s="60" t="e">
        <f>NA()</f>
        <v>#N/A</v>
      </c>
      <c r="H393" s="60" t="e">
        <f>NA()</f>
        <v>#N/A</v>
      </c>
      <c r="I393" s="60">
        <f>-capex_ship1*10^6+$I239</f>
        <v>0</v>
      </c>
      <c r="J393" s="60">
        <f>-capex_ship1*10^6+$I239+NPV(dr_med_ship1,$J239:J239)</f>
        <v>0</v>
      </c>
      <c r="K393" s="60">
        <f>-capex_ship1*10^6+$I239+NPV(dr_med_ship1,$J239:K239)</f>
        <v>0</v>
      </c>
      <c r="L393" s="60">
        <f>-capex_ship1*10^6+$I239+NPV(dr_med_ship1,$J239:L239)</f>
        <v>0</v>
      </c>
      <c r="M393" s="60">
        <f>-capex_ship1*10^6+$I239+NPV(dr_med_ship1,$J239:M239)</f>
        <v>0</v>
      </c>
      <c r="N393" s="60">
        <f>-capex_ship1*10^6+$I239+NPV(dr_med_ship1,$J239:N239)</f>
        <v>0</v>
      </c>
      <c r="O393" s="60">
        <f>-capex_ship1*10^6+$I239+NPV(dr_med_ship1,$J239:O239)</f>
        <v>0</v>
      </c>
      <c r="P393" s="60">
        <f>-capex_ship1*10^6+$I239+NPV(dr_med_ship1,$J239:P239)</f>
        <v>0</v>
      </c>
      <c r="Q393" s="60">
        <f>-capex_ship1*10^6+$I239+NPV(dr_med_ship1,$J239:Q239)</f>
        <v>0</v>
      </c>
      <c r="R393" s="60">
        <f>-capex_ship1*10^6+$I239+NPV(dr_med_ship1,$J239:R239)</f>
        <v>0</v>
      </c>
      <c r="S393" s="60">
        <f>-capex_ship1*10^6+$I239+NPV(dr_med_ship1,$J239:S239)</f>
        <v>0</v>
      </c>
      <c r="T393" s="60">
        <f>-capex_ship1*10^6+$I239+NPV(dr_med_ship1,$J239:T239)</f>
        <v>0</v>
      </c>
      <c r="U393" s="60">
        <f>-capex_ship1*10^6+$I239+NPV(dr_med_ship1,$J239:U239)</f>
        <v>0</v>
      </c>
      <c r="V393" s="60">
        <f>-capex_ship1*10^6+$I239+NPV(dr_med_ship1,$J239:V239)</f>
        <v>0</v>
      </c>
      <c r="W393" s="60">
        <f>-capex_ship1*10^6+$I239+NPV(dr_med_ship1,$J239:W239)</f>
        <v>0</v>
      </c>
      <c r="X393" s="60">
        <f>-capex_ship1*10^6+$I239+NPV(dr_med_ship1,$J239:X239)</f>
        <v>0</v>
      </c>
      <c r="Y393" s="60">
        <f>-capex_ship1*10^6+$I239+NPV(dr_med_ship1,$J239:Y239)</f>
        <v>0</v>
      </c>
      <c r="Z393" s="60">
        <f>-capex_ship1*10^6+$I239+NPV(dr_med_ship1,$J239:Z239)</f>
        <v>0</v>
      </c>
    </row>
    <row r="394" spans="1:32" x14ac:dyDescent="0.2">
      <c r="A394" s="248"/>
      <c r="B394" s="248"/>
      <c r="C394" s="30" t="s">
        <v>19</v>
      </c>
      <c r="D394" s="63" t="e">
        <f>NA()</f>
        <v>#N/A</v>
      </c>
      <c r="E394" s="63" t="e">
        <f>NA()</f>
        <v>#N/A</v>
      </c>
      <c r="F394" s="63" t="e">
        <f>NA()</f>
        <v>#N/A</v>
      </c>
      <c r="G394" s="63" t="e">
        <f>NA()</f>
        <v>#N/A</v>
      </c>
      <c r="H394" s="63" t="e">
        <f>NA()</f>
        <v>#N/A</v>
      </c>
      <c r="I394" s="63">
        <f>-capex_ship1*10^6+$I240</f>
        <v>0</v>
      </c>
      <c r="J394" s="63">
        <f>-capex_ship1*10^6+$I240+NPV(dr_hi_ship1,$J240:J240)</f>
        <v>0</v>
      </c>
      <c r="K394" s="63">
        <f>-capex_ship1*10^6+$I240+NPV(dr_hi_ship1,$J240:K240)</f>
        <v>0</v>
      </c>
      <c r="L394" s="63">
        <f>-capex_ship1*10^6+$I240+NPV(dr_hi_ship1,$J240:L240)</f>
        <v>0</v>
      </c>
      <c r="M394" s="63">
        <f>-capex_ship1*10^6+$I240+NPV(dr_hi_ship1,$J240:M240)</f>
        <v>0</v>
      </c>
      <c r="N394" s="63">
        <f>-capex_ship1*10^6+$I240+NPV(dr_hi_ship1,$J240:N240)</f>
        <v>0</v>
      </c>
      <c r="O394" s="63">
        <f>-capex_ship1*10^6+$I240+NPV(dr_hi_ship1,$J240:O240)</f>
        <v>0</v>
      </c>
      <c r="P394" s="63">
        <f>-capex_ship1*10^6+$I240+NPV(dr_hi_ship1,$J240:P240)</f>
        <v>0</v>
      </c>
      <c r="Q394" s="63">
        <f>-capex_ship1*10^6+$I240+NPV(dr_hi_ship1,$J240:Q240)</f>
        <v>0</v>
      </c>
      <c r="R394" s="63">
        <f>-capex_ship1*10^6+$I240+NPV(dr_hi_ship1,$J240:R240)</f>
        <v>0</v>
      </c>
      <c r="S394" s="63">
        <f>-capex_ship1*10^6+$I240+NPV(dr_hi_ship1,$J240:S240)</f>
        <v>0</v>
      </c>
      <c r="T394" s="63">
        <f>-capex_ship1*10^6+$I240+NPV(dr_hi_ship1,$J240:T240)</f>
        <v>0</v>
      </c>
      <c r="U394" s="63">
        <f>-capex_ship1*10^6+$I240+NPV(dr_hi_ship1,$J240:U240)</f>
        <v>0</v>
      </c>
      <c r="V394" s="63">
        <f>-capex_ship1*10^6+$I240+NPV(dr_hi_ship1,$J240:V240)</f>
        <v>0</v>
      </c>
      <c r="W394" s="63">
        <f>-capex_ship1*10^6+$I240+NPV(dr_hi_ship1,$J240:W240)</f>
        <v>0</v>
      </c>
      <c r="X394" s="63">
        <f>-capex_ship1*10^6+$I240+NPV(dr_hi_ship1,$J240:X240)</f>
        <v>0</v>
      </c>
      <c r="Y394" s="63">
        <f>-capex_ship1*10^6+$I240+NPV(dr_hi_ship1,$J240:Y240)</f>
        <v>0</v>
      </c>
      <c r="Z394" s="63">
        <f>-capex_ship1*10^6+$I240+NPV(dr_hi_ship1,$J240:Z240)</f>
        <v>0</v>
      </c>
      <c r="AF394" s="108"/>
    </row>
    <row r="395" spans="1:32" x14ac:dyDescent="0.2">
      <c r="A395" s="248"/>
      <c r="B395" s="248">
        <f>ship2</f>
        <v>0</v>
      </c>
      <c r="C395" s="30" t="s">
        <v>17</v>
      </c>
      <c r="D395" s="56" t="e">
        <f>NA()</f>
        <v>#N/A</v>
      </c>
      <c r="E395" s="56" t="e">
        <f>NA()</f>
        <v>#N/A</v>
      </c>
      <c r="F395" s="56" t="e">
        <f>NA()</f>
        <v>#N/A</v>
      </c>
      <c r="G395" s="56" t="e">
        <f>NA()</f>
        <v>#N/A</v>
      </c>
      <c r="H395" s="56" t="e">
        <f>NA()</f>
        <v>#N/A</v>
      </c>
      <c r="I395" s="56">
        <f>-capex_ship2*10^6+$I241</f>
        <v>0</v>
      </c>
      <c r="J395" s="56">
        <f>-capex_ship2*10^6+$I241+NPV(dr_lo_ship2,$J241:J241)</f>
        <v>0</v>
      </c>
      <c r="K395" s="56">
        <f>-capex_ship2*10^6+$I241+NPV(dr_lo_ship2,$J241:K241)</f>
        <v>0</v>
      </c>
      <c r="L395" s="56">
        <f>-capex_ship2*10^6+$I241+NPV(dr_lo_ship2,$J241:L241)</f>
        <v>0</v>
      </c>
      <c r="M395" s="56">
        <f>-capex_ship2*10^6+$I241+NPV(dr_lo_ship2,$J241:M241)</f>
        <v>0</v>
      </c>
      <c r="N395" s="56">
        <f>-capex_ship2*10^6+$I241+NPV(dr_lo_ship2,$J241:N241)</f>
        <v>0</v>
      </c>
      <c r="O395" s="56">
        <f>-capex_ship2*10^6+$I241+NPV(dr_lo_ship2,$J241:O241)</f>
        <v>0</v>
      </c>
      <c r="P395" s="56">
        <f>-capex_ship2*10^6+$I241+NPV(dr_lo_ship2,$J241:P241)</f>
        <v>0</v>
      </c>
      <c r="Q395" s="56">
        <f>-capex_ship2*10^6+$I241+NPV(dr_lo_ship2,$J241:Q241)</f>
        <v>0</v>
      </c>
      <c r="R395" s="56">
        <f>-capex_ship2*10^6+$I241+NPV(dr_lo_ship2,$J241:R241)</f>
        <v>0</v>
      </c>
      <c r="S395" s="56">
        <f>-capex_ship2*10^6+$I241+NPV(dr_lo_ship2,$J241:S241)</f>
        <v>0</v>
      </c>
      <c r="T395" s="56">
        <f>-capex_ship2*10^6+$I241+NPV(dr_lo_ship2,$J241:T241)</f>
        <v>0</v>
      </c>
      <c r="U395" s="56">
        <f>-capex_ship2*10^6+$I241+NPV(dr_lo_ship2,$J241:U241)</f>
        <v>0</v>
      </c>
      <c r="V395" s="56">
        <f>-capex_ship2*10^6+$I241+NPV(dr_lo_ship2,$J241:V241)</f>
        <v>0</v>
      </c>
      <c r="W395" s="56">
        <f>-capex_ship2*10^6+$I241+NPV(dr_lo_ship2,$J241:W241)</f>
        <v>0</v>
      </c>
      <c r="X395" s="56">
        <f>-capex_ship2*10^6+$I241+NPV(dr_lo_ship2,$J241:X241)</f>
        <v>0</v>
      </c>
      <c r="Y395" s="56">
        <f>-capex_ship2*10^6+$I241+NPV(dr_lo_ship2,$J241:Y241)</f>
        <v>0</v>
      </c>
      <c r="Z395" s="56">
        <f>-capex_ship2*10^6+$I241+NPV(dr_lo_ship2,$J241:Z241)</f>
        <v>0</v>
      </c>
    </row>
    <row r="396" spans="1:32" x14ac:dyDescent="0.2">
      <c r="A396" s="248"/>
      <c r="B396" s="248"/>
      <c r="C396" s="30" t="s">
        <v>18</v>
      </c>
      <c r="D396" s="60" t="e">
        <f>NA()</f>
        <v>#N/A</v>
      </c>
      <c r="E396" s="60" t="e">
        <f>NA()</f>
        <v>#N/A</v>
      </c>
      <c r="F396" s="60" t="e">
        <f>NA()</f>
        <v>#N/A</v>
      </c>
      <c r="G396" s="60" t="e">
        <f>NA()</f>
        <v>#N/A</v>
      </c>
      <c r="H396" s="60" t="e">
        <f>NA()</f>
        <v>#N/A</v>
      </c>
      <c r="I396" s="60">
        <f>-capex_ship2*10^6+$I242</f>
        <v>0</v>
      </c>
      <c r="J396" s="60">
        <f>-capex_ship2*10^6+$I242+NPV(dr_med_ship2,$J242:J242)</f>
        <v>0</v>
      </c>
      <c r="K396" s="60">
        <f>-capex_ship2*10^6+$I242+NPV(dr_med_ship2,$J242:K242)</f>
        <v>0</v>
      </c>
      <c r="L396" s="60">
        <f>-capex_ship2*10^6+$I242+NPV(dr_med_ship2,$J242:L242)</f>
        <v>0</v>
      </c>
      <c r="M396" s="60">
        <f>-capex_ship2*10^6+$I242+NPV(dr_med_ship2,$J242:M242)</f>
        <v>0</v>
      </c>
      <c r="N396" s="60">
        <f>-capex_ship2*10^6+$I242+NPV(dr_med_ship2,$J242:N242)</f>
        <v>0</v>
      </c>
      <c r="O396" s="60">
        <f>-capex_ship2*10^6+$I242+NPV(dr_med_ship2,$J242:O242)</f>
        <v>0</v>
      </c>
      <c r="P396" s="60">
        <f>-capex_ship2*10^6+$I242+NPV(dr_med_ship2,$J242:P242)</f>
        <v>0</v>
      </c>
      <c r="Q396" s="60">
        <f>-capex_ship2*10^6+$I242+NPV(dr_med_ship2,$J242:Q242)</f>
        <v>0</v>
      </c>
      <c r="R396" s="60">
        <f>-capex_ship2*10^6+$I242+NPV(dr_med_ship2,$J242:R242)</f>
        <v>0</v>
      </c>
      <c r="S396" s="60">
        <f>-capex_ship2*10^6+$I242+NPV(dr_med_ship2,$J242:S242)</f>
        <v>0</v>
      </c>
      <c r="T396" s="60">
        <f>-capex_ship2*10^6+$I242+NPV(dr_med_ship2,$J242:T242)</f>
        <v>0</v>
      </c>
      <c r="U396" s="60">
        <f>-capex_ship2*10^6+$I242+NPV(dr_med_ship2,$J242:U242)</f>
        <v>0</v>
      </c>
      <c r="V396" s="60">
        <f>-capex_ship2*10^6+$I242+NPV(dr_med_ship2,$J242:V242)</f>
        <v>0</v>
      </c>
      <c r="W396" s="60">
        <f>-capex_ship2*10^6+$I242+NPV(dr_med_ship2,$J242:W242)</f>
        <v>0</v>
      </c>
      <c r="X396" s="60">
        <f>-capex_ship2*10^6+$I242+NPV(dr_med_ship2,$J242:X242)</f>
        <v>0</v>
      </c>
      <c r="Y396" s="60">
        <f>-capex_ship2*10^6+$I242+NPV(dr_med_ship2,$J242:Y242)</f>
        <v>0</v>
      </c>
      <c r="Z396" s="60">
        <f>-capex_ship2*10^6+$I242+NPV(dr_med_ship2,$J242:Z242)</f>
        <v>0</v>
      </c>
    </row>
    <row r="397" spans="1:32" x14ac:dyDescent="0.2">
      <c r="A397" s="248"/>
      <c r="B397" s="248"/>
      <c r="C397" s="30" t="s">
        <v>19</v>
      </c>
      <c r="D397" s="63" t="e">
        <f>NA()</f>
        <v>#N/A</v>
      </c>
      <c r="E397" s="63" t="e">
        <f>NA()</f>
        <v>#N/A</v>
      </c>
      <c r="F397" s="63" t="e">
        <f>NA()</f>
        <v>#N/A</v>
      </c>
      <c r="G397" s="63" t="e">
        <f>NA()</f>
        <v>#N/A</v>
      </c>
      <c r="H397" s="63" t="e">
        <f>NA()</f>
        <v>#N/A</v>
      </c>
      <c r="I397" s="63">
        <f>-capex_ship2*10^6+$I243</f>
        <v>0</v>
      </c>
      <c r="J397" s="63">
        <f>-capex_ship2*10^6+$I243+NPV(dr_hi_ship2,$J243:J243)</f>
        <v>0</v>
      </c>
      <c r="K397" s="63">
        <f>-capex_ship2*10^6+$I243+NPV(dr_hi_ship2,$J243:K243)</f>
        <v>0</v>
      </c>
      <c r="L397" s="63">
        <f>-capex_ship2*10^6+$I243+NPV(dr_hi_ship2,$J243:L243)</f>
        <v>0</v>
      </c>
      <c r="M397" s="63">
        <f>-capex_ship2*10^6+$I243+NPV(dr_hi_ship2,$J243:M243)</f>
        <v>0</v>
      </c>
      <c r="N397" s="63">
        <f>-capex_ship2*10^6+$I243+NPV(dr_hi_ship2,$J243:N243)</f>
        <v>0</v>
      </c>
      <c r="O397" s="63">
        <f>-capex_ship2*10^6+$I243+NPV(dr_hi_ship2,$J243:O243)</f>
        <v>0</v>
      </c>
      <c r="P397" s="63">
        <f>-capex_ship2*10^6+$I243+NPV(dr_hi_ship2,$J243:P243)</f>
        <v>0</v>
      </c>
      <c r="Q397" s="63">
        <f>-capex_ship2*10^6+$I243+NPV(dr_hi_ship2,$J243:Q243)</f>
        <v>0</v>
      </c>
      <c r="R397" s="63">
        <f>-capex_ship2*10^6+$I243+NPV(dr_hi_ship2,$J243:R243)</f>
        <v>0</v>
      </c>
      <c r="S397" s="63">
        <f>-capex_ship2*10^6+$I243+NPV(dr_hi_ship2,$J243:S243)</f>
        <v>0</v>
      </c>
      <c r="T397" s="63">
        <f>-capex_ship2*10^6+$I243+NPV(dr_hi_ship2,$J243:T243)</f>
        <v>0</v>
      </c>
      <c r="U397" s="63">
        <f>-capex_ship2*10^6+$I243+NPV(dr_hi_ship2,$J243:U243)</f>
        <v>0</v>
      </c>
      <c r="V397" s="63">
        <f>-capex_ship2*10^6+$I243+NPV(dr_hi_ship2,$J243:V243)</f>
        <v>0</v>
      </c>
      <c r="W397" s="63">
        <f>-capex_ship2*10^6+$I243+NPV(dr_hi_ship2,$J243:W243)</f>
        <v>0</v>
      </c>
      <c r="X397" s="63">
        <f>-capex_ship2*10^6+$I243+NPV(dr_hi_ship2,$J243:X243)</f>
        <v>0</v>
      </c>
      <c r="Y397" s="63">
        <f>-capex_ship2*10^6+$I243+NPV(dr_hi_ship2,$J243:Y243)</f>
        <v>0</v>
      </c>
      <c r="Z397" s="63">
        <f>-capex_ship2*10^6+$I243+NPV(dr_hi_ship2,$J243:Z243)</f>
        <v>0</v>
      </c>
    </row>
    <row r="398" spans="1:32" x14ac:dyDescent="0.2">
      <c r="A398" s="248"/>
      <c r="B398" s="248">
        <f>ship3</f>
        <v>0</v>
      </c>
      <c r="C398" s="30" t="s">
        <v>17</v>
      </c>
      <c r="D398" s="56" t="e">
        <f>NA()</f>
        <v>#N/A</v>
      </c>
      <c r="E398" s="56" t="e">
        <f>NA()</f>
        <v>#N/A</v>
      </c>
      <c r="F398" s="56" t="e">
        <f>NA()</f>
        <v>#N/A</v>
      </c>
      <c r="G398" s="56" t="e">
        <f>NA()</f>
        <v>#N/A</v>
      </c>
      <c r="H398" s="56" t="e">
        <f>NA()</f>
        <v>#N/A</v>
      </c>
      <c r="I398" s="56">
        <f>-capex_ship3*10^6+$I244</f>
        <v>0</v>
      </c>
      <c r="J398" s="56">
        <f>-capex_ship3*10^6+$I244+NPV(dr_lo_ship3,$J244:J244)</f>
        <v>0</v>
      </c>
      <c r="K398" s="56">
        <f>-capex_ship3*10^6+$I244+NPV(dr_lo_ship3,$J244:K244)</f>
        <v>0</v>
      </c>
      <c r="L398" s="56">
        <f>-capex_ship3*10^6+$I244+NPV(dr_lo_ship3,$J244:L244)</f>
        <v>0</v>
      </c>
      <c r="M398" s="56">
        <f>-capex_ship3*10^6+$I244+NPV(dr_lo_ship3,$J244:M244)</f>
        <v>0</v>
      </c>
      <c r="N398" s="56">
        <f>-capex_ship3*10^6+$I244+NPV(dr_lo_ship3,$J244:N244)</f>
        <v>0</v>
      </c>
      <c r="O398" s="56">
        <f>-capex_ship3*10^6+$I244+NPV(dr_lo_ship3,$J244:O244)</f>
        <v>0</v>
      </c>
      <c r="P398" s="56">
        <f>-capex_ship3*10^6+$I244+NPV(dr_lo_ship3,$J244:P244)</f>
        <v>0</v>
      </c>
      <c r="Q398" s="56">
        <f>-capex_ship3*10^6+$I244+NPV(dr_lo_ship3,$J244:Q244)</f>
        <v>0</v>
      </c>
      <c r="R398" s="56">
        <f>-capex_ship3*10^6+$I244+NPV(dr_lo_ship3,$J244:R244)</f>
        <v>0</v>
      </c>
      <c r="S398" s="56">
        <f>-capex_ship3*10^6+$I244+NPV(dr_lo_ship3,$J244:S244)</f>
        <v>0</v>
      </c>
      <c r="T398" s="56">
        <f>-capex_ship3*10^6+$I244+NPV(dr_lo_ship3,$J244:T244)</f>
        <v>0</v>
      </c>
      <c r="U398" s="56">
        <f>-capex_ship3*10^6+$I244+NPV(dr_lo_ship3,$J244:U244)</f>
        <v>0</v>
      </c>
      <c r="V398" s="56">
        <f>-capex_ship3*10^6+$I244+NPV(dr_lo_ship3,$J244:V244)</f>
        <v>0</v>
      </c>
      <c r="W398" s="56">
        <f>-capex_ship3*10^6+$I244+NPV(dr_lo_ship3,$J244:W244)</f>
        <v>0</v>
      </c>
      <c r="X398" s="56">
        <f>-capex_ship3*10^6+$I244+NPV(dr_lo_ship3,$J244:X244)</f>
        <v>0</v>
      </c>
      <c r="Y398" s="56">
        <f>-capex_ship3*10^6+$I244+NPV(dr_lo_ship3,$J244:Y244)</f>
        <v>0</v>
      </c>
      <c r="Z398" s="56">
        <f>-capex_ship3*10^6+$I244+NPV(dr_lo_ship3,$J244:Z244)</f>
        <v>0</v>
      </c>
    </row>
    <row r="399" spans="1:32" x14ac:dyDescent="0.2">
      <c r="A399" s="248"/>
      <c r="B399" s="248"/>
      <c r="C399" s="30" t="s">
        <v>18</v>
      </c>
      <c r="D399" s="60" t="e">
        <f>NA()</f>
        <v>#N/A</v>
      </c>
      <c r="E399" s="60" t="e">
        <f>NA()</f>
        <v>#N/A</v>
      </c>
      <c r="F399" s="60" t="e">
        <f>NA()</f>
        <v>#N/A</v>
      </c>
      <c r="G399" s="60" t="e">
        <f>NA()</f>
        <v>#N/A</v>
      </c>
      <c r="H399" s="60" t="e">
        <f>NA()</f>
        <v>#N/A</v>
      </c>
      <c r="I399" s="60">
        <f>-capex_ship3*10^6+$I245</f>
        <v>0</v>
      </c>
      <c r="J399" s="60">
        <f>-capex_ship3*10^6+$I245+NPV(dr_med_ship3,$J245:J245)</f>
        <v>0</v>
      </c>
      <c r="K399" s="60">
        <f>-capex_ship3*10^6+$I245+NPV(dr_med_ship3,$J245:K245)</f>
        <v>0</v>
      </c>
      <c r="L399" s="60">
        <f>-capex_ship3*10^6+$I245+NPV(dr_med_ship3,$J245:L245)</f>
        <v>0</v>
      </c>
      <c r="M399" s="60">
        <f>-capex_ship3*10^6+$I245+NPV(dr_med_ship3,$J245:M245)</f>
        <v>0</v>
      </c>
      <c r="N399" s="60">
        <f>-capex_ship3*10^6+$I245+NPV(dr_med_ship3,$J245:N245)</f>
        <v>0</v>
      </c>
      <c r="O399" s="60">
        <f>-capex_ship3*10^6+$I245+NPV(dr_med_ship3,$J245:O245)</f>
        <v>0</v>
      </c>
      <c r="P399" s="60">
        <f>-capex_ship3*10^6+$I245+NPV(dr_med_ship3,$J245:P245)</f>
        <v>0</v>
      </c>
      <c r="Q399" s="60">
        <f>-capex_ship3*10^6+$I245+NPV(dr_med_ship3,$J245:Q245)</f>
        <v>0</v>
      </c>
      <c r="R399" s="60">
        <f>-capex_ship3*10^6+$I245+NPV(dr_med_ship3,$J245:R245)</f>
        <v>0</v>
      </c>
      <c r="S399" s="60">
        <f>-capex_ship3*10^6+$I245+NPV(dr_med_ship3,$J245:S245)</f>
        <v>0</v>
      </c>
      <c r="T399" s="60">
        <f>-capex_ship3*10^6+$I245+NPV(dr_med_ship3,$J245:T245)</f>
        <v>0</v>
      </c>
      <c r="U399" s="60">
        <f>-capex_ship3*10^6+$I245+NPV(dr_med_ship3,$J245:U245)</f>
        <v>0</v>
      </c>
      <c r="V399" s="60">
        <f>-capex_ship3*10^6+$I245+NPV(dr_med_ship3,$J245:V245)</f>
        <v>0</v>
      </c>
      <c r="W399" s="60">
        <f>-capex_ship3*10^6+$I245+NPV(dr_med_ship3,$J245:W245)</f>
        <v>0</v>
      </c>
      <c r="X399" s="60">
        <f>-capex_ship3*10^6+$I245+NPV(dr_med_ship3,$J245:X245)</f>
        <v>0</v>
      </c>
      <c r="Y399" s="60">
        <f>-capex_ship3*10^6+$I245+NPV(dr_med_ship3,$J245:Y245)</f>
        <v>0</v>
      </c>
      <c r="Z399" s="60">
        <f>-capex_ship3*10^6+$I245+NPV(dr_med_ship3,$J245:Z245)</f>
        <v>0</v>
      </c>
    </row>
    <row r="400" spans="1:32" x14ac:dyDescent="0.2">
      <c r="A400" s="248"/>
      <c r="B400" s="248"/>
      <c r="C400" s="30" t="s">
        <v>19</v>
      </c>
      <c r="D400" s="63" t="e">
        <f>NA()</f>
        <v>#N/A</v>
      </c>
      <c r="E400" s="63" t="e">
        <f>NA()</f>
        <v>#N/A</v>
      </c>
      <c r="F400" s="63" t="e">
        <f>NA()</f>
        <v>#N/A</v>
      </c>
      <c r="G400" s="63" t="e">
        <f>NA()</f>
        <v>#N/A</v>
      </c>
      <c r="H400" s="63" t="e">
        <f>NA()</f>
        <v>#N/A</v>
      </c>
      <c r="I400" s="63">
        <f>-capex_ship3*10^6+$I246</f>
        <v>0</v>
      </c>
      <c r="J400" s="63">
        <f>-capex_ship3*10^6+$I246+NPV(dr_hi_ship3,$J246:J246)</f>
        <v>0</v>
      </c>
      <c r="K400" s="63">
        <f>-capex_ship3*10^6+$I246+NPV(dr_hi_ship3,$J246:K246)</f>
        <v>0</v>
      </c>
      <c r="L400" s="63">
        <f>-capex_ship3*10^6+$I246+NPV(dr_hi_ship3,$J246:L246)</f>
        <v>0</v>
      </c>
      <c r="M400" s="63">
        <f>-capex_ship3*10^6+$I246+NPV(dr_hi_ship3,$J246:M246)</f>
        <v>0</v>
      </c>
      <c r="N400" s="63">
        <f>-capex_ship3*10^6+$I246+NPV(dr_hi_ship3,$J246:N246)</f>
        <v>0</v>
      </c>
      <c r="O400" s="63">
        <f>-capex_ship3*10^6+$I246+NPV(dr_hi_ship3,$J246:O246)</f>
        <v>0</v>
      </c>
      <c r="P400" s="63">
        <f>-capex_ship3*10^6+$I246+NPV(dr_hi_ship3,$J246:P246)</f>
        <v>0</v>
      </c>
      <c r="Q400" s="63">
        <f>-capex_ship3*10^6+$I246+NPV(dr_hi_ship3,$J246:Q246)</f>
        <v>0</v>
      </c>
      <c r="R400" s="63">
        <f>-capex_ship3*10^6+$I246+NPV(dr_hi_ship3,$J246:R246)</f>
        <v>0</v>
      </c>
      <c r="S400" s="63">
        <f>-capex_ship3*10^6+$I246+NPV(dr_hi_ship3,$J246:S246)</f>
        <v>0</v>
      </c>
      <c r="T400" s="63">
        <f>-capex_ship3*10^6+$I246+NPV(dr_hi_ship3,$J246:T246)</f>
        <v>0</v>
      </c>
      <c r="U400" s="63">
        <f>-capex_ship3*10^6+$I246+NPV(dr_hi_ship3,$J246:U246)</f>
        <v>0</v>
      </c>
      <c r="V400" s="63">
        <f>-capex_ship3*10^6+$I246+NPV(dr_hi_ship3,$J246:V246)</f>
        <v>0</v>
      </c>
      <c r="W400" s="63">
        <f>-capex_ship3*10^6+$I246+NPV(dr_hi_ship3,$J246:W246)</f>
        <v>0</v>
      </c>
      <c r="X400" s="63">
        <f>-capex_ship3*10^6+$I246+NPV(dr_hi_ship3,$J246:X246)</f>
        <v>0</v>
      </c>
      <c r="Y400" s="63">
        <f>-capex_ship3*10^6+$I246+NPV(dr_hi_ship3,$J246:Y246)</f>
        <v>0</v>
      </c>
      <c r="Z400" s="63">
        <f>-capex_ship3*10^6+$I246+NPV(dr_hi_ship3,$J246:Z246)</f>
        <v>0</v>
      </c>
    </row>
    <row r="401" spans="1:32" x14ac:dyDescent="0.2">
      <c r="A401" s="248"/>
      <c r="B401" s="248">
        <f>ship4</f>
        <v>0</v>
      </c>
      <c r="C401" s="30" t="s">
        <v>17</v>
      </c>
      <c r="D401" s="56" t="e">
        <f>NA()</f>
        <v>#N/A</v>
      </c>
      <c r="E401" s="56" t="e">
        <f>NA()</f>
        <v>#N/A</v>
      </c>
      <c r="F401" s="56" t="e">
        <f>NA()</f>
        <v>#N/A</v>
      </c>
      <c r="G401" s="56" t="e">
        <f>NA()</f>
        <v>#N/A</v>
      </c>
      <c r="H401" s="56" t="e">
        <f>NA()</f>
        <v>#N/A</v>
      </c>
      <c r="I401" s="56">
        <f>-capex_ship4*10^6+$I247</f>
        <v>0</v>
      </c>
      <c r="J401" s="56">
        <f>-capex_ship4*10^6+$I247+NPV(dr_lo_ship4,$J247:J247)</f>
        <v>0</v>
      </c>
      <c r="K401" s="56">
        <f>-capex_ship4*10^6+$I247+NPV(dr_lo_ship4,$J247:K247)</f>
        <v>0</v>
      </c>
      <c r="L401" s="56">
        <f>-capex_ship4*10^6+$I247+NPV(dr_lo_ship4,$J247:L247)</f>
        <v>0</v>
      </c>
      <c r="M401" s="56">
        <f>-capex_ship4*10^6+$I247+NPV(dr_lo_ship4,$J247:M247)</f>
        <v>0</v>
      </c>
      <c r="N401" s="56">
        <f>-capex_ship4*10^6+$I247+NPV(dr_lo_ship4,$J247:N247)</f>
        <v>0</v>
      </c>
      <c r="O401" s="56">
        <f>-capex_ship4*10^6+$I247+NPV(dr_lo_ship4,$J247:O247)</f>
        <v>0</v>
      </c>
      <c r="P401" s="56">
        <f>-capex_ship4*10^6+$I247+NPV(dr_lo_ship4,$J247:P247)</f>
        <v>0</v>
      </c>
      <c r="Q401" s="56">
        <f>-capex_ship4*10^6+$I247+NPV(dr_lo_ship4,$J247:Q247)</f>
        <v>0</v>
      </c>
      <c r="R401" s="56">
        <f>-capex_ship4*10^6+$I247+NPV(dr_lo_ship4,$J247:R247)</f>
        <v>0</v>
      </c>
      <c r="S401" s="56">
        <f>-capex_ship4*10^6+$I247+NPV(dr_lo_ship4,$J247:S247)</f>
        <v>0</v>
      </c>
      <c r="T401" s="56">
        <f>-capex_ship4*10^6+$I247+NPV(dr_lo_ship4,$J247:T247)</f>
        <v>0</v>
      </c>
      <c r="U401" s="56">
        <f>-capex_ship4*10^6+$I247+NPV(dr_lo_ship4,$J247:U247)</f>
        <v>0</v>
      </c>
      <c r="V401" s="56">
        <f>-capex_ship4*10^6+$I247+NPV(dr_lo_ship4,$J247:V247)</f>
        <v>0</v>
      </c>
      <c r="W401" s="56">
        <f>-capex_ship4*10^6+$I247+NPV(dr_lo_ship4,$J247:W247)</f>
        <v>0</v>
      </c>
      <c r="X401" s="56">
        <f>-capex_ship4*10^6+$I247+NPV(dr_lo_ship4,$J247:X247)</f>
        <v>0</v>
      </c>
      <c r="Y401" s="56">
        <f>-capex_ship4*10^6+$I247+NPV(dr_lo_ship4,$J247:Y247)</f>
        <v>0</v>
      </c>
      <c r="Z401" s="56">
        <f>-capex_ship4*10^6+$I247+NPV(dr_lo_ship4,$J247:Z247)</f>
        <v>0</v>
      </c>
    </row>
    <row r="402" spans="1:32" x14ac:dyDescent="0.2">
      <c r="A402" s="248"/>
      <c r="B402" s="248"/>
      <c r="C402" s="30" t="s">
        <v>18</v>
      </c>
      <c r="D402" s="60" t="e">
        <f>NA()</f>
        <v>#N/A</v>
      </c>
      <c r="E402" s="60" t="e">
        <f>NA()</f>
        <v>#N/A</v>
      </c>
      <c r="F402" s="60" t="e">
        <f>NA()</f>
        <v>#N/A</v>
      </c>
      <c r="G402" s="60" t="e">
        <f>NA()</f>
        <v>#N/A</v>
      </c>
      <c r="H402" s="60" t="e">
        <f>NA()</f>
        <v>#N/A</v>
      </c>
      <c r="I402" s="60">
        <f>-capex_ship4*10^6+$I248</f>
        <v>0</v>
      </c>
      <c r="J402" s="60">
        <f>-capex_ship4*10^6+$I248+NPV(dr_med_ship4,$J248:J248)</f>
        <v>0</v>
      </c>
      <c r="K402" s="60">
        <f>-capex_ship4*10^6+$I248+NPV(dr_med_ship4,$J248:K248)</f>
        <v>0</v>
      </c>
      <c r="L402" s="60">
        <f>-capex_ship4*10^6+$I248+NPV(dr_med_ship4,$J248:L248)</f>
        <v>0</v>
      </c>
      <c r="M402" s="60">
        <f>-capex_ship4*10^6+$I248+NPV(dr_med_ship4,$J248:M248)</f>
        <v>0</v>
      </c>
      <c r="N402" s="60">
        <f>-capex_ship4*10^6+$I248+NPV(dr_med_ship4,$J248:N248)</f>
        <v>0</v>
      </c>
      <c r="O402" s="60">
        <f>-capex_ship4*10^6+$I248+NPV(dr_med_ship4,$J248:O248)</f>
        <v>0</v>
      </c>
      <c r="P402" s="60">
        <f>-capex_ship4*10^6+$I248+NPV(dr_med_ship4,$J248:P248)</f>
        <v>0</v>
      </c>
      <c r="Q402" s="60">
        <f>-capex_ship4*10^6+$I248+NPV(dr_med_ship4,$J248:Q248)</f>
        <v>0</v>
      </c>
      <c r="R402" s="60">
        <f>-capex_ship4*10^6+$I248+NPV(dr_med_ship4,$J248:R248)</f>
        <v>0</v>
      </c>
      <c r="S402" s="60">
        <f>-capex_ship4*10^6+$I248+NPV(dr_med_ship4,$J248:S248)</f>
        <v>0</v>
      </c>
      <c r="T402" s="60">
        <f>-capex_ship4*10^6+$I248+NPV(dr_med_ship4,$J248:T248)</f>
        <v>0</v>
      </c>
      <c r="U402" s="60">
        <f>-capex_ship4*10^6+$I248+NPV(dr_med_ship4,$J248:U248)</f>
        <v>0</v>
      </c>
      <c r="V402" s="60">
        <f>-capex_ship4*10^6+$I248+NPV(dr_med_ship4,$J248:V248)</f>
        <v>0</v>
      </c>
      <c r="W402" s="60">
        <f>-capex_ship4*10^6+$I248+NPV(dr_med_ship4,$J248:W248)</f>
        <v>0</v>
      </c>
      <c r="X402" s="60">
        <f>-capex_ship4*10^6+$I248+NPV(dr_med_ship4,$J248:X248)</f>
        <v>0</v>
      </c>
      <c r="Y402" s="60">
        <f>-capex_ship4*10^6+$I248+NPV(dr_med_ship4,$J248:Y248)</f>
        <v>0</v>
      </c>
      <c r="Z402" s="60">
        <f>-capex_ship4*10^6+$I248+NPV(dr_med_ship4,$J248:Z248)</f>
        <v>0</v>
      </c>
    </row>
    <row r="403" spans="1:32" x14ac:dyDescent="0.2">
      <c r="A403" s="248"/>
      <c r="B403" s="248"/>
      <c r="C403" s="30" t="s">
        <v>19</v>
      </c>
      <c r="D403" s="63" t="e">
        <f>NA()</f>
        <v>#N/A</v>
      </c>
      <c r="E403" s="63" t="e">
        <f>NA()</f>
        <v>#N/A</v>
      </c>
      <c r="F403" s="63" t="e">
        <f>NA()</f>
        <v>#N/A</v>
      </c>
      <c r="G403" s="63" t="e">
        <f>NA()</f>
        <v>#N/A</v>
      </c>
      <c r="H403" s="63" t="e">
        <f>NA()</f>
        <v>#N/A</v>
      </c>
      <c r="I403" s="63">
        <f>-capex_ship4*10^6+$I249</f>
        <v>0</v>
      </c>
      <c r="J403" s="63">
        <f>-capex_ship4*10^6+$I249+NPV(dr_hi_ship4,$J249:J249)</f>
        <v>0</v>
      </c>
      <c r="K403" s="63">
        <f>-capex_ship4*10^6+$I249+NPV(dr_hi_ship4,$J249:K249)</f>
        <v>0</v>
      </c>
      <c r="L403" s="63">
        <f>-capex_ship4*10^6+$I249+NPV(dr_hi_ship4,$J249:L249)</f>
        <v>0</v>
      </c>
      <c r="M403" s="63">
        <f>-capex_ship4*10^6+$I249+NPV(dr_hi_ship4,$J249:M249)</f>
        <v>0</v>
      </c>
      <c r="N403" s="63">
        <f>-capex_ship4*10^6+$I249+NPV(dr_hi_ship4,$J249:N249)</f>
        <v>0</v>
      </c>
      <c r="O403" s="63">
        <f>-capex_ship4*10^6+$I249+NPV(dr_hi_ship4,$J249:O249)</f>
        <v>0</v>
      </c>
      <c r="P403" s="63">
        <f>-capex_ship4*10^6+$I249+NPV(dr_hi_ship4,$J249:P249)</f>
        <v>0</v>
      </c>
      <c r="Q403" s="63">
        <f>-capex_ship4*10^6+$I249+NPV(dr_hi_ship4,$J249:Q249)</f>
        <v>0</v>
      </c>
      <c r="R403" s="63">
        <f>-capex_ship4*10^6+$I249+NPV(dr_hi_ship4,$J249:R249)</f>
        <v>0</v>
      </c>
      <c r="S403" s="63">
        <f>-capex_ship4*10^6+$I249+NPV(dr_hi_ship4,$J249:S249)</f>
        <v>0</v>
      </c>
      <c r="T403" s="63">
        <f>-capex_ship4*10^6+$I249+NPV(dr_hi_ship4,$J249:T249)</f>
        <v>0</v>
      </c>
      <c r="U403" s="63">
        <f>-capex_ship4*10^6+$I249+NPV(dr_hi_ship4,$J249:U249)</f>
        <v>0</v>
      </c>
      <c r="V403" s="63">
        <f>-capex_ship4*10^6+$I249+NPV(dr_hi_ship4,$J249:V249)</f>
        <v>0</v>
      </c>
      <c r="W403" s="63">
        <f>-capex_ship4*10^6+$I249+NPV(dr_hi_ship4,$J249:W249)</f>
        <v>0</v>
      </c>
      <c r="X403" s="63">
        <f>-capex_ship4*10^6+$I249+NPV(dr_hi_ship4,$J249:X249)</f>
        <v>0</v>
      </c>
      <c r="Y403" s="63">
        <f>-capex_ship4*10^6+$I249+NPV(dr_hi_ship4,$J249:Y249)</f>
        <v>0</v>
      </c>
      <c r="Z403" s="63">
        <f>-capex_ship4*10^6+$I249+NPV(dr_hi_ship4,$J249:Z249)</f>
        <v>0</v>
      </c>
    </row>
    <row r="404" spans="1:32" x14ac:dyDescent="0.2">
      <c r="A404" s="248"/>
      <c r="B404" s="248">
        <f>ship5</f>
        <v>0</v>
      </c>
      <c r="C404" s="30" t="s">
        <v>17</v>
      </c>
      <c r="D404" s="56" t="e">
        <f>NA()</f>
        <v>#N/A</v>
      </c>
      <c r="E404" s="56" t="e">
        <f>NA()</f>
        <v>#N/A</v>
      </c>
      <c r="F404" s="56" t="e">
        <f>NA()</f>
        <v>#N/A</v>
      </c>
      <c r="G404" s="56" t="e">
        <f>NA()</f>
        <v>#N/A</v>
      </c>
      <c r="H404" s="56" t="e">
        <f>NA()</f>
        <v>#N/A</v>
      </c>
      <c r="I404" s="56">
        <f>-capex_ship5*10^6+$I250</f>
        <v>0</v>
      </c>
      <c r="J404" s="56">
        <f>-capex_ship5*10^6+$I250+NPV(dr_lo_ship5,$J250:J250)</f>
        <v>0</v>
      </c>
      <c r="K404" s="56">
        <f>-capex_ship5*10^6+$I250+NPV(dr_lo_ship5,$J250:K250)</f>
        <v>0</v>
      </c>
      <c r="L404" s="56">
        <f>-capex_ship5*10^6+$I250+NPV(dr_lo_ship5,$J250:L250)</f>
        <v>0</v>
      </c>
      <c r="M404" s="56">
        <f>-capex_ship5*10^6+$I250+NPV(dr_lo_ship5,$J250:M250)</f>
        <v>0</v>
      </c>
      <c r="N404" s="56">
        <f>-capex_ship5*10^6+$I250+NPV(dr_lo_ship5,$J250:N250)</f>
        <v>0</v>
      </c>
      <c r="O404" s="56">
        <f>-capex_ship5*10^6+$I250+NPV(dr_lo_ship5,$J250:O250)</f>
        <v>0</v>
      </c>
      <c r="P404" s="56">
        <f>-capex_ship5*10^6+$I250+NPV(dr_lo_ship5,$J250:P250)</f>
        <v>0</v>
      </c>
      <c r="Q404" s="56">
        <f>-capex_ship5*10^6+$I250+NPV(dr_lo_ship5,$J250:Q250)</f>
        <v>0</v>
      </c>
      <c r="R404" s="56">
        <f>-capex_ship5*10^6+$I250+NPV(dr_lo_ship5,$J250:R250)</f>
        <v>0</v>
      </c>
      <c r="S404" s="56">
        <f>-capex_ship5*10^6+$I250+NPV(dr_lo_ship5,$J250:S250)</f>
        <v>0</v>
      </c>
      <c r="T404" s="56">
        <f>-capex_ship5*10^6+$I250+NPV(dr_lo_ship5,$J250:T250)</f>
        <v>0</v>
      </c>
      <c r="U404" s="56">
        <f>-capex_ship5*10^6+$I250+NPV(dr_lo_ship5,$J250:U250)</f>
        <v>0</v>
      </c>
      <c r="V404" s="56">
        <f>-capex_ship5*10^6+$I250+NPV(dr_lo_ship5,$J250:V250)</f>
        <v>0</v>
      </c>
      <c r="W404" s="56">
        <f>-capex_ship5*10^6+$I250+NPV(dr_lo_ship5,$J250:W250)</f>
        <v>0</v>
      </c>
      <c r="X404" s="56">
        <f>-capex_ship5*10^6+$I250+NPV(dr_lo_ship5,$J250:X250)</f>
        <v>0</v>
      </c>
      <c r="Y404" s="56">
        <f>-capex_ship5*10^6+$I250+NPV(dr_lo_ship5,$J250:Y250)</f>
        <v>0</v>
      </c>
      <c r="Z404" s="56">
        <f>-capex_ship5*10^6+$I250+NPV(dr_lo_ship5,$J250:Z250)</f>
        <v>0</v>
      </c>
    </row>
    <row r="405" spans="1:32" x14ac:dyDescent="0.2">
      <c r="A405" s="248"/>
      <c r="B405" s="248"/>
      <c r="C405" s="30" t="s">
        <v>18</v>
      </c>
      <c r="D405" s="60" t="e">
        <f>NA()</f>
        <v>#N/A</v>
      </c>
      <c r="E405" s="60" t="e">
        <f>NA()</f>
        <v>#N/A</v>
      </c>
      <c r="F405" s="60" t="e">
        <f>NA()</f>
        <v>#N/A</v>
      </c>
      <c r="G405" s="60" t="e">
        <f>NA()</f>
        <v>#N/A</v>
      </c>
      <c r="H405" s="60" t="e">
        <f>NA()</f>
        <v>#N/A</v>
      </c>
      <c r="I405" s="60">
        <f>-capex_ship5*10^6+$I251</f>
        <v>0</v>
      </c>
      <c r="J405" s="60">
        <f>-capex_ship5*10^6+$I251+NPV(dr_med_ship5,$J251:J251)</f>
        <v>0</v>
      </c>
      <c r="K405" s="60">
        <f>-capex_ship5*10^6+$I251+NPV(dr_med_ship5,$J251:K251)</f>
        <v>0</v>
      </c>
      <c r="L405" s="60">
        <f>-capex_ship5*10^6+$I251+NPV(dr_med_ship5,$J251:L251)</f>
        <v>0</v>
      </c>
      <c r="M405" s="60">
        <f>-capex_ship5*10^6+$I251+NPV(dr_med_ship5,$J251:M251)</f>
        <v>0</v>
      </c>
      <c r="N405" s="60">
        <f>-capex_ship5*10^6+$I251+NPV(dr_med_ship5,$J251:N251)</f>
        <v>0</v>
      </c>
      <c r="O405" s="60">
        <f>-capex_ship5*10^6+$I251+NPV(dr_med_ship5,$J251:O251)</f>
        <v>0</v>
      </c>
      <c r="P405" s="60">
        <f>-capex_ship5*10^6+$I251+NPV(dr_med_ship5,$J251:P251)</f>
        <v>0</v>
      </c>
      <c r="Q405" s="60">
        <f>-capex_ship5*10^6+$I251+NPV(dr_med_ship5,$J251:Q251)</f>
        <v>0</v>
      </c>
      <c r="R405" s="60">
        <f>-capex_ship5*10^6+$I251+NPV(dr_med_ship5,$J251:R251)</f>
        <v>0</v>
      </c>
      <c r="S405" s="60">
        <f>-capex_ship5*10^6+$I251+NPV(dr_med_ship5,$J251:S251)</f>
        <v>0</v>
      </c>
      <c r="T405" s="60">
        <f>-capex_ship5*10^6+$I251+NPV(dr_med_ship5,$J251:T251)</f>
        <v>0</v>
      </c>
      <c r="U405" s="60">
        <f>-capex_ship5*10^6+$I251+NPV(dr_med_ship5,$J251:U251)</f>
        <v>0</v>
      </c>
      <c r="V405" s="60">
        <f>-capex_ship5*10^6+$I251+NPV(dr_med_ship5,$J251:V251)</f>
        <v>0</v>
      </c>
      <c r="W405" s="60">
        <f>-capex_ship5*10^6+$I251+NPV(dr_med_ship5,$J251:W251)</f>
        <v>0</v>
      </c>
      <c r="X405" s="60">
        <f>-capex_ship5*10^6+$I251+NPV(dr_med_ship5,$J251:X251)</f>
        <v>0</v>
      </c>
      <c r="Y405" s="60">
        <f>-capex_ship5*10^6+$I251+NPV(dr_med_ship5,$J251:Y251)</f>
        <v>0</v>
      </c>
      <c r="Z405" s="60">
        <f>-capex_ship5*10^6+$I251+NPV(dr_med_ship5,$J251:Z251)</f>
        <v>0</v>
      </c>
    </row>
    <row r="406" spans="1:32" x14ac:dyDescent="0.2">
      <c r="A406" s="248"/>
      <c r="B406" s="248"/>
      <c r="C406" s="30" t="s">
        <v>19</v>
      </c>
      <c r="D406" s="63" t="e">
        <f>NA()</f>
        <v>#N/A</v>
      </c>
      <c r="E406" s="63" t="e">
        <f>NA()</f>
        <v>#N/A</v>
      </c>
      <c r="F406" s="63" t="e">
        <f>NA()</f>
        <v>#N/A</v>
      </c>
      <c r="G406" s="63" t="e">
        <f>NA()</f>
        <v>#N/A</v>
      </c>
      <c r="H406" s="63" t="e">
        <f>NA()</f>
        <v>#N/A</v>
      </c>
      <c r="I406" s="63">
        <f>-capex_ship5*10^6+$I252</f>
        <v>0</v>
      </c>
      <c r="J406" s="63">
        <f>-capex_ship5*10^6+$I252+NPV(dr_hi_ship5,$J252:J252)</f>
        <v>0</v>
      </c>
      <c r="K406" s="63">
        <f>-capex_ship5*10^6+$I252+NPV(dr_hi_ship5,$J252:K252)</f>
        <v>0</v>
      </c>
      <c r="L406" s="63">
        <f>-capex_ship5*10^6+$I252+NPV(dr_hi_ship5,$J252:L252)</f>
        <v>0</v>
      </c>
      <c r="M406" s="63">
        <f>-capex_ship5*10^6+$I252+NPV(dr_hi_ship5,$J252:M252)</f>
        <v>0</v>
      </c>
      <c r="N406" s="63">
        <f>-capex_ship5*10^6+$I252+NPV(dr_hi_ship5,$J252:N252)</f>
        <v>0</v>
      </c>
      <c r="O406" s="63">
        <f>-capex_ship5*10^6+$I252+NPV(dr_hi_ship5,$J252:O252)</f>
        <v>0</v>
      </c>
      <c r="P406" s="63">
        <f>-capex_ship5*10^6+$I252+NPV(dr_hi_ship5,$J252:P252)</f>
        <v>0</v>
      </c>
      <c r="Q406" s="63">
        <f>-capex_ship5*10^6+$I252+NPV(dr_hi_ship5,$J252:Q252)</f>
        <v>0</v>
      </c>
      <c r="R406" s="63">
        <f>-capex_ship5*10^6+$I252+NPV(dr_hi_ship5,$J252:R252)</f>
        <v>0</v>
      </c>
      <c r="S406" s="63">
        <f>-capex_ship5*10^6+$I252+NPV(dr_hi_ship5,$J252:S252)</f>
        <v>0</v>
      </c>
      <c r="T406" s="63">
        <f>-capex_ship5*10^6+$I252+NPV(dr_hi_ship5,$J252:T252)</f>
        <v>0</v>
      </c>
      <c r="U406" s="63">
        <f>-capex_ship5*10^6+$I252+NPV(dr_hi_ship5,$J252:U252)</f>
        <v>0</v>
      </c>
      <c r="V406" s="63">
        <f>-capex_ship5*10^6+$I252+NPV(dr_hi_ship5,$J252:V252)</f>
        <v>0</v>
      </c>
      <c r="W406" s="63">
        <f>-capex_ship5*10^6+$I252+NPV(dr_hi_ship5,$J252:W252)</f>
        <v>0</v>
      </c>
      <c r="X406" s="63">
        <f>-capex_ship5*10^6+$I252+NPV(dr_hi_ship5,$J252:X252)</f>
        <v>0</v>
      </c>
      <c r="Y406" s="63">
        <f>-capex_ship5*10^6+$I252+NPV(dr_hi_ship5,$J252:Y252)</f>
        <v>0</v>
      </c>
      <c r="Z406" s="63">
        <f>-capex_ship5*10^6+$I252+NPV(dr_hi_ship5,$J252:Z252)</f>
        <v>0</v>
      </c>
    </row>
    <row r="407" spans="1:32" x14ac:dyDescent="0.2">
      <c r="A407" s="248"/>
      <c r="B407" s="248">
        <f>ship6</f>
        <v>0</v>
      </c>
      <c r="C407" s="30" t="s">
        <v>17</v>
      </c>
      <c r="D407" s="56" t="e">
        <f>NA()</f>
        <v>#N/A</v>
      </c>
      <c r="E407" s="56" t="e">
        <f>NA()</f>
        <v>#N/A</v>
      </c>
      <c r="F407" s="56" t="e">
        <f>NA()</f>
        <v>#N/A</v>
      </c>
      <c r="G407" s="56" t="e">
        <f>NA()</f>
        <v>#N/A</v>
      </c>
      <c r="H407" s="56" t="e">
        <f>NA()</f>
        <v>#N/A</v>
      </c>
      <c r="I407" s="56">
        <f>-capex_ship6*10^6+$I253</f>
        <v>0</v>
      </c>
      <c r="J407" s="56">
        <f>-capex_ship6*10^6+$I253+NPV(dr_lo_ship6,$J253:J253)</f>
        <v>0</v>
      </c>
      <c r="K407" s="56">
        <f>-capex_ship6*10^6+$I253+NPV(dr_lo_ship6,$J253:K253)</f>
        <v>0</v>
      </c>
      <c r="L407" s="56">
        <f>-capex_ship6*10^6+$I253+NPV(dr_lo_ship6,$J253:L253)</f>
        <v>0</v>
      </c>
      <c r="M407" s="56">
        <f>-capex_ship6*10^6+$I253+NPV(dr_lo_ship6,$J253:M253)</f>
        <v>0</v>
      </c>
      <c r="N407" s="56">
        <f>-capex_ship6*10^6+$I253+NPV(dr_lo_ship6,$J253:N253)</f>
        <v>0</v>
      </c>
      <c r="O407" s="56">
        <f>-capex_ship6*10^6+$I253+NPV(dr_lo_ship6,$J253:O253)</f>
        <v>0</v>
      </c>
      <c r="P407" s="56">
        <f>-capex_ship6*10^6+$I253+NPV(dr_lo_ship6,$J253:P253)</f>
        <v>0</v>
      </c>
      <c r="Q407" s="56">
        <f>-capex_ship6*10^6+$I253+NPV(dr_lo_ship6,$J253:Q253)</f>
        <v>0</v>
      </c>
      <c r="R407" s="56">
        <f>-capex_ship6*10^6+$I253+NPV(dr_lo_ship6,$J253:R253)</f>
        <v>0</v>
      </c>
      <c r="S407" s="56">
        <f>-capex_ship6*10^6+$I253+NPV(dr_lo_ship6,$J253:S253)</f>
        <v>0</v>
      </c>
      <c r="T407" s="56">
        <f>-capex_ship6*10^6+$I253+NPV(dr_lo_ship6,$J253:T253)</f>
        <v>0</v>
      </c>
      <c r="U407" s="56">
        <f>-capex_ship6*10^6+$I253+NPV(dr_lo_ship6,$J253:U253)</f>
        <v>0</v>
      </c>
      <c r="V407" s="56">
        <f>-capex_ship6*10^6+$I253+NPV(dr_lo_ship6,$J253:V253)</f>
        <v>0</v>
      </c>
      <c r="W407" s="56">
        <f>-capex_ship6*10^6+$I253+NPV(dr_lo_ship6,$J253:W253)</f>
        <v>0</v>
      </c>
      <c r="X407" s="56">
        <f>-capex_ship6*10^6+$I253+NPV(dr_lo_ship6,$J253:X253)</f>
        <v>0</v>
      </c>
      <c r="Y407" s="56">
        <f>-capex_ship6*10^6+$I253+NPV(dr_lo_ship6,$J253:Y253)</f>
        <v>0</v>
      </c>
      <c r="Z407" s="56">
        <f>-capex_ship6*10^6+$I253+NPV(dr_lo_ship6,$J253:Z253)</f>
        <v>0</v>
      </c>
    </row>
    <row r="408" spans="1:32" x14ac:dyDescent="0.2">
      <c r="A408" s="248"/>
      <c r="B408" s="248"/>
      <c r="C408" s="30" t="s">
        <v>18</v>
      </c>
      <c r="D408" s="60" t="e">
        <f>NA()</f>
        <v>#N/A</v>
      </c>
      <c r="E408" s="60" t="e">
        <f>NA()</f>
        <v>#N/A</v>
      </c>
      <c r="F408" s="60" t="e">
        <f>NA()</f>
        <v>#N/A</v>
      </c>
      <c r="G408" s="60" t="e">
        <f>NA()</f>
        <v>#N/A</v>
      </c>
      <c r="H408" s="60" t="e">
        <f>NA()</f>
        <v>#N/A</v>
      </c>
      <c r="I408" s="60">
        <f>-capex_ship6*10^6+$I254</f>
        <v>0</v>
      </c>
      <c r="J408" s="60">
        <f>-capex_ship6*10^6+$I254+NPV(dr_med_ship6,$J254:J254)</f>
        <v>0</v>
      </c>
      <c r="K408" s="60">
        <f>-capex_ship6*10^6+$I254+NPV(dr_med_ship6,$J254:K254)</f>
        <v>0</v>
      </c>
      <c r="L408" s="60">
        <f>-capex_ship6*10^6+$I254+NPV(dr_med_ship6,$J254:L254)</f>
        <v>0</v>
      </c>
      <c r="M408" s="60">
        <f>-capex_ship6*10^6+$I254+NPV(dr_med_ship6,$J254:M254)</f>
        <v>0</v>
      </c>
      <c r="N408" s="60">
        <f>-capex_ship6*10^6+$I254+NPV(dr_med_ship6,$J254:N254)</f>
        <v>0</v>
      </c>
      <c r="O408" s="60">
        <f>-capex_ship6*10^6+$I254+NPV(dr_med_ship6,$J254:O254)</f>
        <v>0</v>
      </c>
      <c r="P408" s="60">
        <f>-capex_ship6*10^6+$I254+NPV(dr_med_ship6,$J254:P254)</f>
        <v>0</v>
      </c>
      <c r="Q408" s="60">
        <f>-capex_ship6*10^6+$I254+NPV(dr_med_ship6,$J254:Q254)</f>
        <v>0</v>
      </c>
      <c r="R408" s="60">
        <f>-capex_ship6*10^6+$I254+NPV(dr_med_ship6,$J254:R254)</f>
        <v>0</v>
      </c>
      <c r="S408" s="60">
        <f>-capex_ship6*10^6+$I254+NPV(dr_med_ship6,$J254:S254)</f>
        <v>0</v>
      </c>
      <c r="T408" s="60">
        <f>-capex_ship6*10^6+$I254+NPV(dr_med_ship6,$J254:T254)</f>
        <v>0</v>
      </c>
      <c r="U408" s="60">
        <f>-capex_ship6*10^6+$I254+NPV(dr_med_ship6,$J254:U254)</f>
        <v>0</v>
      </c>
      <c r="V408" s="60">
        <f>-capex_ship6*10^6+$I254+NPV(dr_med_ship6,$J254:V254)</f>
        <v>0</v>
      </c>
      <c r="W408" s="60">
        <f>-capex_ship6*10^6+$I254+NPV(dr_med_ship6,$J254:W254)</f>
        <v>0</v>
      </c>
      <c r="X408" s="60">
        <f>-capex_ship6*10^6+$I254+NPV(dr_med_ship6,$J254:X254)</f>
        <v>0</v>
      </c>
      <c r="Y408" s="60">
        <f>-capex_ship6*10^6+$I254+NPV(dr_med_ship6,$J254:Y254)</f>
        <v>0</v>
      </c>
      <c r="Z408" s="60">
        <f>-capex_ship6*10^6+$I254+NPV(dr_med_ship6,$J254:Z254)</f>
        <v>0</v>
      </c>
    </row>
    <row r="409" spans="1:32" x14ac:dyDescent="0.2">
      <c r="A409" s="248"/>
      <c r="B409" s="248"/>
      <c r="C409" s="30" t="s">
        <v>19</v>
      </c>
      <c r="D409" s="63" t="e">
        <f>NA()</f>
        <v>#N/A</v>
      </c>
      <c r="E409" s="63" t="e">
        <f>NA()</f>
        <v>#N/A</v>
      </c>
      <c r="F409" s="63" t="e">
        <f>NA()</f>
        <v>#N/A</v>
      </c>
      <c r="G409" s="63" t="e">
        <f>NA()</f>
        <v>#N/A</v>
      </c>
      <c r="H409" s="63" t="e">
        <f>NA()</f>
        <v>#N/A</v>
      </c>
      <c r="I409" s="63">
        <f>-capex_ship6*10^6+$I255</f>
        <v>0</v>
      </c>
      <c r="J409" s="63">
        <f>-capex_ship6*10^6+$I255+NPV(dr_hi_ship6,$J255:J255)</f>
        <v>0</v>
      </c>
      <c r="K409" s="63">
        <f>-capex_ship6*10^6+$I255+NPV(dr_hi_ship6,$J255:K255)</f>
        <v>0</v>
      </c>
      <c r="L409" s="63">
        <f>-capex_ship6*10^6+$I255+NPV(dr_hi_ship6,$J255:L255)</f>
        <v>0</v>
      </c>
      <c r="M409" s="63">
        <f>-capex_ship6*10^6+$I255+NPV(dr_hi_ship6,$J255:M255)</f>
        <v>0</v>
      </c>
      <c r="N409" s="63">
        <f>-capex_ship6*10^6+$I255+NPV(dr_hi_ship6,$J255:N255)</f>
        <v>0</v>
      </c>
      <c r="O409" s="63">
        <f>-capex_ship6*10^6+$I255+NPV(dr_hi_ship6,$J255:O255)</f>
        <v>0</v>
      </c>
      <c r="P409" s="63">
        <f>-capex_ship6*10^6+$I255+NPV(dr_hi_ship6,$J255:P255)</f>
        <v>0</v>
      </c>
      <c r="Q409" s="63">
        <f>-capex_ship6*10^6+$I255+NPV(dr_hi_ship6,$J255:Q255)</f>
        <v>0</v>
      </c>
      <c r="R409" s="63">
        <f>-capex_ship6*10^6+$I255+NPV(dr_hi_ship6,$J255:R255)</f>
        <v>0</v>
      </c>
      <c r="S409" s="63">
        <f>-capex_ship6*10^6+$I255+NPV(dr_hi_ship6,$J255:S255)</f>
        <v>0</v>
      </c>
      <c r="T409" s="63">
        <f>-capex_ship6*10^6+$I255+NPV(dr_hi_ship6,$J255:T255)</f>
        <v>0</v>
      </c>
      <c r="U409" s="63">
        <f>-capex_ship6*10^6+$I255+NPV(dr_hi_ship6,$J255:U255)</f>
        <v>0</v>
      </c>
      <c r="V409" s="63">
        <f>-capex_ship6*10^6+$I255+NPV(dr_hi_ship6,$J255:V255)</f>
        <v>0</v>
      </c>
      <c r="W409" s="63">
        <f>-capex_ship6*10^6+$I255+NPV(dr_hi_ship6,$J255:W255)</f>
        <v>0</v>
      </c>
      <c r="X409" s="63">
        <f>-capex_ship6*10^6+$I255+NPV(dr_hi_ship6,$J255:X255)</f>
        <v>0</v>
      </c>
      <c r="Y409" s="63">
        <f>-capex_ship6*10^6+$I255+NPV(dr_hi_ship6,$J255:Y255)</f>
        <v>0</v>
      </c>
      <c r="Z409" s="63">
        <f>-capex_ship6*10^6+$I255+NPV(dr_hi_ship6,$J255:Z255)</f>
        <v>0</v>
      </c>
    </row>
    <row r="410" spans="1:32" ht="12.75" customHeight="1" x14ac:dyDescent="0.2">
      <c r="A410" s="248" t="s">
        <v>126</v>
      </c>
      <c r="B410" s="248">
        <f>ship_plot</f>
        <v>0</v>
      </c>
      <c r="C410" s="30" t="s">
        <v>17</v>
      </c>
      <c r="D410" s="56" t="e">
        <f t="shared" ref="D410:Z410" si="289">IF(ship_plot=ship1,D392,IF(ship_plot=ship2,D395,IF(ship_plot=ship3,D398,IF(ship_plot=ship4,D401,IF(ship_plot=ship5,D404,IF(ship_plot=ship6,D407,"error"))))))</f>
        <v>#N/A</v>
      </c>
      <c r="E410" s="56" t="e">
        <f t="shared" si="289"/>
        <v>#N/A</v>
      </c>
      <c r="F410" s="56" t="e">
        <f t="shared" si="289"/>
        <v>#N/A</v>
      </c>
      <c r="G410" s="56" t="e">
        <f t="shared" si="289"/>
        <v>#N/A</v>
      </c>
      <c r="H410" s="56" t="e">
        <f t="shared" si="289"/>
        <v>#N/A</v>
      </c>
      <c r="I410" s="56">
        <f t="shared" si="289"/>
        <v>0</v>
      </c>
      <c r="J410" s="56">
        <f t="shared" si="289"/>
        <v>0</v>
      </c>
      <c r="K410" s="56">
        <f t="shared" si="289"/>
        <v>0</v>
      </c>
      <c r="L410" s="56">
        <f t="shared" si="289"/>
        <v>0</v>
      </c>
      <c r="M410" s="56">
        <f t="shared" si="289"/>
        <v>0</v>
      </c>
      <c r="N410" s="56">
        <f t="shared" si="289"/>
        <v>0</v>
      </c>
      <c r="O410" s="56">
        <f t="shared" si="289"/>
        <v>0</v>
      </c>
      <c r="P410" s="56">
        <f t="shared" si="289"/>
        <v>0</v>
      </c>
      <c r="Q410" s="56">
        <f t="shared" si="289"/>
        <v>0</v>
      </c>
      <c r="R410" s="56">
        <f t="shared" si="289"/>
        <v>0</v>
      </c>
      <c r="S410" s="56">
        <f t="shared" si="289"/>
        <v>0</v>
      </c>
      <c r="T410" s="56">
        <f t="shared" si="289"/>
        <v>0</v>
      </c>
      <c r="U410" s="56">
        <f t="shared" si="289"/>
        <v>0</v>
      </c>
      <c r="V410" s="56">
        <f t="shared" si="289"/>
        <v>0</v>
      </c>
      <c r="W410" s="56">
        <f t="shared" si="289"/>
        <v>0</v>
      </c>
      <c r="X410" s="56">
        <f t="shared" si="289"/>
        <v>0</v>
      </c>
      <c r="Y410" s="56">
        <f t="shared" si="289"/>
        <v>0</v>
      </c>
      <c r="Z410" s="56">
        <f t="shared" si="289"/>
        <v>0</v>
      </c>
    </row>
    <row r="411" spans="1:32" x14ac:dyDescent="0.2">
      <c r="A411" s="248"/>
      <c r="B411" s="248"/>
      <c r="C411" s="30" t="s">
        <v>18</v>
      </c>
      <c r="D411" s="60" t="e">
        <f t="shared" ref="D411:Z411" si="290">IF(ship_plot=ship1,D393,IF(ship_plot=ship2,D396,IF(ship_plot=ship3,D399,IF(ship_plot=ship4,D402,IF(ship_plot=ship5,D405,IF(ship_plot=ship6,D408,"error"))))))</f>
        <v>#N/A</v>
      </c>
      <c r="E411" s="60" t="e">
        <f t="shared" si="290"/>
        <v>#N/A</v>
      </c>
      <c r="F411" s="60" t="e">
        <f t="shared" si="290"/>
        <v>#N/A</v>
      </c>
      <c r="G411" s="60" t="e">
        <f t="shared" si="290"/>
        <v>#N/A</v>
      </c>
      <c r="H411" s="60" t="e">
        <f t="shared" si="290"/>
        <v>#N/A</v>
      </c>
      <c r="I411" s="60">
        <f t="shared" si="290"/>
        <v>0</v>
      </c>
      <c r="J411" s="60">
        <f t="shared" si="290"/>
        <v>0</v>
      </c>
      <c r="K411" s="60">
        <f t="shared" si="290"/>
        <v>0</v>
      </c>
      <c r="L411" s="60">
        <f t="shared" si="290"/>
        <v>0</v>
      </c>
      <c r="M411" s="60">
        <f t="shared" si="290"/>
        <v>0</v>
      </c>
      <c r="N411" s="60">
        <f t="shared" si="290"/>
        <v>0</v>
      </c>
      <c r="O411" s="60">
        <f t="shared" si="290"/>
        <v>0</v>
      </c>
      <c r="P411" s="60">
        <f t="shared" si="290"/>
        <v>0</v>
      </c>
      <c r="Q411" s="60">
        <f t="shared" si="290"/>
        <v>0</v>
      </c>
      <c r="R411" s="60">
        <f t="shared" si="290"/>
        <v>0</v>
      </c>
      <c r="S411" s="60">
        <f t="shared" si="290"/>
        <v>0</v>
      </c>
      <c r="T411" s="60">
        <f t="shared" si="290"/>
        <v>0</v>
      </c>
      <c r="U411" s="60">
        <f t="shared" si="290"/>
        <v>0</v>
      </c>
      <c r="V411" s="60">
        <f t="shared" si="290"/>
        <v>0</v>
      </c>
      <c r="W411" s="60">
        <f t="shared" si="290"/>
        <v>0</v>
      </c>
      <c r="X411" s="60">
        <f t="shared" si="290"/>
        <v>0</v>
      </c>
      <c r="Y411" s="60">
        <f t="shared" si="290"/>
        <v>0</v>
      </c>
      <c r="Z411" s="60">
        <f t="shared" si="290"/>
        <v>0</v>
      </c>
    </row>
    <row r="412" spans="1:32" x14ac:dyDescent="0.2">
      <c r="A412" s="248"/>
      <c r="B412" s="248"/>
      <c r="C412" s="30" t="s">
        <v>19</v>
      </c>
      <c r="D412" s="63" t="e">
        <f t="shared" ref="D412:Z412" si="291">IF(ship_plot=ship1,D394,IF(ship_plot=ship2,D397,IF(ship_plot=ship3,D400,IF(ship_plot=ship4,D403,IF(ship_plot=ship5,D406,IF(ship_plot=ship6,D409,"error"))))))</f>
        <v>#N/A</v>
      </c>
      <c r="E412" s="63" t="e">
        <f t="shared" si="291"/>
        <v>#N/A</v>
      </c>
      <c r="F412" s="63" t="e">
        <f t="shared" si="291"/>
        <v>#N/A</v>
      </c>
      <c r="G412" s="63" t="e">
        <f t="shared" si="291"/>
        <v>#N/A</v>
      </c>
      <c r="H412" s="63" t="e">
        <f t="shared" si="291"/>
        <v>#N/A</v>
      </c>
      <c r="I412" s="63">
        <f t="shared" si="291"/>
        <v>0</v>
      </c>
      <c r="J412" s="63">
        <f t="shared" si="291"/>
        <v>0</v>
      </c>
      <c r="K412" s="63">
        <f t="shared" si="291"/>
        <v>0</v>
      </c>
      <c r="L412" s="63">
        <f t="shared" si="291"/>
        <v>0</v>
      </c>
      <c r="M412" s="63">
        <f t="shared" si="291"/>
        <v>0</v>
      </c>
      <c r="N412" s="63">
        <f t="shared" si="291"/>
        <v>0</v>
      </c>
      <c r="O412" s="63">
        <f t="shared" si="291"/>
        <v>0</v>
      </c>
      <c r="P412" s="63">
        <f t="shared" si="291"/>
        <v>0</v>
      </c>
      <c r="Q412" s="63">
        <f t="shared" si="291"/>
        <v>0</v>
      </c>
      <c r="R412" s="63">
        <f t="shared" si="291"/>
        <v>0</v>
      </c>
      <c r="S412" s="63">
        <f t="shared" si="291"/>
        <v>0</v>
      </c>
      <c r="T412" s="63">
        <f t="shared" si="291"/>
        <v>0</v>
      </c>
      <c r="U412" s="63">
        <f t="shared" si="291"/>
        <v>0</v>
      </c>
      <c r="V412" s="63">
        <f t="shared" si="291"/>
        <v>0</v>
      </c>
      <c r="W412" s="63">
        <f t="shared" si="291"/>
        <v>0</v>
      </c>
      <c r="X412" s="63">
        <f t="shared" si="291"/>
        <v>0</v>
      </c>
      <c r="Y412" s="63">
        <f t="shared" si="291"/>
        <v>0</v>
      </c>
      <c r="Z412" s="63">
        <f t="shared" si="291"/>
        <v>0</v>
      </c>
    </row>
    <row r="413" spans="1:32" ht="12.75" customHeight="1" x14ac:dyDescent="0.2">
      <c r="A413" s="76" t="s">
        <v>127</v>
      </c>
      <c r="B413" s="76">
        <f>ship_plot</f>
        <v>0</v>
      </c>
      <c r="C413" s="77">
        <f>scenario_display</f>
        <v>0</v>
      </c>
      <c r="D413" s="78" t="e">
        <f t="shared" ref="D413:Z413" si="292">IF(scenario_display="Low",D410,IF(scenario_display="Medium",D411,D412))</f>
        <v>#N/A</v>
      </c>
      <c r="E413" s="78" t="e">
        <f t="shared" si="292"/>
        <v>#N/A</v>
      </c>
      <c r="F413" s="78" t="e">
        <f t="shared" si="292"/>
        <v>#N/A</v>
      </c>
      <c r="G413" s="78" t="e">
        <f t="shared" si="292"/>
        <v>#N/A</v>
      </c>
      <c r="H413" s="78" t="e">
        <f t="shared" si="292"/>
        <v>#N/A</v>
      </c>
      <c r="I413" s="78">
        <f t="shared" si="292"/>
        <v>0</v>
      </c>
      <c r="J413" s="78">
        <f t="shared" si="292"/>
        <v>0</v>
      </c>
      <c r="K413" s="78">
        <f t="shared" si="292"/>
        <v>0</v>
      </c>
      <c r="L413" s="78">
        <f t="shared" si="292"/>
        <v>0</v>
      </c>
      <c r="M413" s="78">
        <f t="shared" si="292"/>
        <v>0</v>
      </c>
      <c r="N413" s="78">
        <f t="shared" si="292"/>
        <v>0</v>
      </c>
      <c r="O413" s="78">
        <f t="shared" si="292"/>
        <v>0</v>
      </c>
      <c r="P413" s="78">
        <f t="shared" si="292"/>
        <v>0</v>
      </c>
      <c r="Q413" s="78">
        <f t="shared" si="292"/>
        <v>0</v>
      </c>
      <c r="R413" s="78">
        <f t="shared" si="292"/>
        <v>0</v>
      </c>
      <c r="S413" s="78">
        <f t="shared" si="292"/>
        <v>0</v>
      </c>
      <c r="T413" s="78">
        <f t="shared" si="292"/>
        <v>0</v>
      </c>
      <c r="U413" s="78">
        <f t="shared" si="292"/>
        <v>0</v>
      </c>
      <c r="V413" s="78">
        <f t="shared" si="292"/>
        <v>0</v>
      </c>
      <c r="W413" s="78">
        <f t="shared" si="292"/>
        <v>0</v>
      </c>
      <c r="X413" s="78">
        <f t="shared" si="292"/>
        <v>0</v>
      </c>
      <c r="Y413" s="78">
        <f t="shared" si="292"/>
        <v>0</v>
      </c>
      <c r="Z413" s="78">
        <f t="shared" si="292"/>
        <v>0</v>
      </c>
    </row>
    <row r="414" spans="1:32" x14ac:dyDescent="0.2">
      <c r="A414" s="248" t="s">
        <v>128</v>
      </c>
      <c r="B414" s="248">
        <f>ship1</f>
        <v>0</v>
      </c>
      <c r="C414" s="30" t="s">
        <v>17</v>
      </c>
      <c r="D414" s="56" t="e">
        <f>NA()</f>
        <v>#N/A</v>
      </c>
      <c r="E414" s="56" t="e">
        <f>NA()</f>
        <v>#N/A</v>
      </c>
      <c r="F414" s="56" t="e">
        <f>NA()</f>
        <v>#N/A</v>
      </c>
      <c r="G414" s="56" t="e">
        <f>NA()</f>
        <v>#N/A</v>
      </c>
      <c r="H414" s="56" t="e">
        <f>NA()</f>
        <v>#N/A</v>
      </c>
      <c r="I414" s="56" t="e">
        <f>NA()</f>
        <v>#N/A</v>
      </c>
      <c r="J414" s="56">
        <f>-capex_ship1*10^6+$J238</f>
        <v>0</v>
      </c>
      <c r="K414" s="56">
        <f>-capex_ship1*10^6+$J238+NPV(dr_lo_ship1,$K238:K238)</f>
        <v>0</v>
      </c>
      <c r="L414" s="56">
        <f>-capex_ship1*10^6+$J238+NPV(dr_lo_ship1,$K238:L238)</f>
        <v>0</v>
      </c>
      <c r="M414" s="56">
        <f>-capex_ship1*10^6+$J238+NPV(dr_lo_ship1,$K238:M238)</f>
        <v>0</v>
      </c>
      <c r="N414" s="56">
        <f>-capex_ship1*10^6+$J238+NPV(dr_lo_ship1,$K238:N238)</f>
        <v>0</v>
      </c>
      <c r="O414" s="56">
        <f>-capex_ship1*10^6+$J238+NPV(dr_lo_ship1,$K238:O238)</f>
        <v>0</v>
      </c>
      <c r="P414" s="56">
        <f>-capex_ship1*10^6+$J238+NPV(dr_lo_ship1,$K238:P238)</f>
        <v>0</v>
      </c>
      <c r="Q414" s="56">
        <f>-capex_ship1*10^6+$J238+NPV(dr_lo_ship1,$K238:Q238)</f>
        <v>0</v>
      </c>
      <c r="R414" s="56">
        <f>-capex_ship1*10^6+$J238+NPV(dr_lo_ship1,$K238:R238)</f>
        <v>0</v>
      </c>
      <c r="S414" s="56">
        <f>-capex_ship1*10^6+$J238+NPV(dr_lo_ship1,$K238:S238)</f>
        <v>0</v>
      </c>
      <c r="T414" s="56">
        <f>-capex_ship1*10^6+$J238+NPV(dr_lo_ship1,$K238:T238)</f>
        <v>0</v>
      </c>
      <c r="U414" s="56">
        <f>-capex_ship1*10^6+$J238+NPV(dr_lo_ship1,$K238:U238)</f>
        <v>0</v>
      </c>
      <c r="V414" s="56">
        <f>-capex_ship1*10^6+$J238+NPV(dr_lo_ship1,$K238:V238)</f>
        <v>0</v>
      </c>
      <c r="W414" s="56">
        <f>-capex_ship1*10^6+$J238+NPV(dr_lo_ship1,$K238:W238)</f>
        <v>0</v>
      </c>
      <c r="X414" s="56">
        <f>-capex_ship1*10^6+$J238+NPV(dr_lo_ship1,$K238:X238)</f>
        <v>0</v>
      </c>
      <c r="Y414" s="56">
        <f>-capex_ship1*10^6+$J238+NPV(dr_lo_ship1,$K238:Y238)</f>
        <v>0</v>
      </c>
      <c r="Z414" s="56">
        <f>-capex_ship1*10^6+$J238+NPV(dr_lo_ship1,$K238:Z238)</f>
        <v>0</v>
      </c>
    </row>
    <row r="415" spans="1:32" x14ac:dyDescent="0.2">
      <c r="A415" s="248"/>
      <c r="B415" s="248"/>
      <c r="C415" s="30" t="s">
        <v>18</v>
      </c>
      <c r="D415" s="60" t="e">
        <f>NA()</f>
        <v>#N/A</v>
      </c>
      <c r="E415" s="60" t="e">
        <f>NA()</f>
        <v>#N/A</v>
      </c>
      <c r="F415" s="60" t="e">
        <f>NA()</f>
        <v>#N/A</v>
      </c>
      <c r="G415" s="60" t="e">
        <f>NA()</f>
        <v>#N/A</v>
      </c>
      <c r="H415" s="60" t="e">
        <f>NA()</f>
        <v>#N/A</v>
      </c>
      <c r="I415" s="60" t="e">
        <f>NA()</f>
        <v>#N/A</v>
      </c>
      <c r="J415" s="60">
        <f>-capex_ship1*10^6+$J239</f>
        <v>0</v>
      </c>
      <c r="K415" s="60">
        <f>-capex_ship1*10^6+$J239+NPV(dr_med_ship1,$K239:K239)</f>
        <v>0</v>
      </c>
      <c r="L415" s="60">
        <f>-capex_ship1*10^6+$J239+NPV(dr_med_ship1,$K239:L239)</f>
        <v>0</v>
      </c>
      <c r="M415" s="60">
        <f>-capex_ship1*10^6+$J239+NPV(dr_med_ship1,$K239:M239)</f>
        <v>0</v>
      </c>
      <c r="N415" s="60">
        <f>-capex_ship1*10^6+$J239+NPV(dr_med_ship1,$K239:N239)</f>
        <v>0</v>
      </c>
      <c r="O415" s="60">
        <f>-capex_ship1*10^6+$J239+NPV(dr_med_ship1,$K239:O239)</f>
        <v>0</v>
      </c>
      <c r="P415" s="60">
        <f>-capex_ship1*10^6+$J239+NPV(dr_med_ship1,$K239:P239)</f>
        <v>0</v>
      </c>
      <c r="Q415" s="60">
        <f>-capex_ship1*10^6+$J239+NPV(dr_med_ship1,$K239:Q239)</f>
        <v>0</v>
      </c>
      <c r="R415" s="60">
        <f>-capex_ship1*10^6+$J239+NPV(dr_med_ship1,$K239:R239)</f>
        <v>0</v>
      </c>
      <c r="S415" s="60">
        <f>-capex_ship1*10^6+$J239+NPV(dr_med_ship1,$K239:S239)</f>
        <v>0</v>
      </c>
      <c r="T415" s="60">
        <f>-capex_ship1*10^6+$J239+NPV(dr_med_ship1,$K239:T239)</f>
        <v>0</v>
      </c>
      <c r="U415" s="60">
        <f>-capex_ship1*10^6+$J239+NPV(dr_med_ship1,$K239:U239)</f>
        <v>0</v>
      </c>
      <c r="V415" s="60">
        <f>-capex_ship1*10^6+$J239+NPV(dr_med_ship1,$K239:V239)</f>
        <v>0</v>
      </c>
      <c r="W415" s="60">
        <f>-capex_ship1*10^6+$J239+NPV(dr_med_ship1,$K239:W239)</f>
        <v>0</v>
      </c>
      <c r="X415" s="60">
        <f>-capex_ship1*10^6+$J239+NPV(dr_med_ship1,$K239:X239)</f>
        <v>0</v>
      </c>
      <c r="Y415" s="60">
        <f>-capex_ship1*10^6+$J239+NPV(dr_med_ship1,$K239:Y239)</f>
        <v>0</v>
      </c>
      <c r="Z415" s="60">
        <f>-capex_ship1*10^6+$J239+NPV(dr_med_ship1,$K239:Z239)</f>
        <v>0</v>
      </c>
    </row>
    <row r="416" spans="1:32" x14ac:dyDescent="0.2">
      <c r="A416" s="248"/>
      <c r="B416" s="248"/>
      <c r="C416" s="30" t="s">
        <v>19</v>
      </c>
      <c r="D416" s="63" t="e">
        <f>NA()</f>
        <v>#N/A</v>
      </c>
      <c r="E416" s="63" t="e">
        <f>NA()</f>
        <v>#N/A</v>
      </c>
      <c r="F416" s="63" t="e">
        <f>NA()</f>
        <v>#N/A</v>
      </c>
      <c r="G416" s="63" t="e">
        <f>NA()</f>
        <v>#N/A</v>
      </c>
      <c r="H416" s="63" t="e">
        <f>NA()</f>
        <v>#N/A</v>
      </c>
      <c r="I416" s="63" t="e">
        <f>NA()</f>
        <v>#N/A</v>
      </c>
      <c r="J416" s="63">
        <f>-capex_ship1*10^6+$J240</f>
        <v>0</v>
      </c>
      <c r="K416" s="63">
        <f>-capex_ship1*10^6+$J240+NPV(dr_hi_ship1,$K240:K240)</f>
        <v>0</v>
      </c>
      <c r="L416" s="63">
        <f>-capex_ship1*10^6+$J240+NPV(dr_hi_ship1,$K240:L240)</f>
        <v>0</v>
      </c>
      <c r="M416" s="63">
        <f>-capex_ship1*10^6+$J240+NPV(dr_hi_ship1,$K240:M240)</f>
        <v>0</v>
      </c>
      <c r="N416" s="63">
        <f>-capex_ship1*10^6+$J240+NPV(dr_hi_ship1,$K240:N240)</f>
        <v>0</v>
      </c>
      <c r="O416" s="63">
        <f>-capex_ship1*10^6+$J240+NPV(dr_hi_ship1,$K240:O240)</f>
        <v>0</v>
      </c>
      <c r="P416" s="63">
        <f>-capex_ship1*10^6+$J240+NPV(dr_hi_ship1,$K240:P240)</f>
        <v>0</v>
      </c>
      <c r="Q416" s="63">
        <f>-capex_ship1*10^6+$J240+NPV(dr_hi_ship1,$K240:Q240)</f>
        <v>0</v>
      </c>
      <c r="R416" s="63">
        <f>-capex_ship1*10^6+$J240+NPV(dr_hi_ship1,$K240:R240)</f>
        <v>0</v>
      </c>
      <c r="S416" s="63">
        <f>-capex_ship1*10^6+$J240+NPV(dr_hi_ship1,$K240:S240)</f>
        <v>0</v>
      </c>
      <c r="T416" s="63">
        <f>-capex_ship1*10^6+$J240+NPV(dr_hi_ship1,$K240:T240)</f>
        <v>0</v>
      </c>
      <c r="U416" s="63">
        <f>-capex_ship1*10^6+$J240+NPV(dr_hi_ship1,$K240:U240)</f>
        <v>0</v>
      </c>
      <c r="V416" s="63">
        <f>-capex_ship1*10^6+$J240+NPV(dr_hi_ship1,$K240:V240)</f>
        <v>0</v>
      </c>
      <c r="W416" s="63">
        <f>-capex_ship1*10^6+$J240+NPV(dr_hi_ship1,$K240:W240)</f>
        <v>0</v>
      </c>
      <c r="X416" s="63">
        <f>-capex_ship1*10^6+$J240+NPV(dr_hi_ship1,$K240:X240)</f>
        <v>0</v>
      </c>
      <c r="Y416" s="63">
        <f>-capex_ship1*10^6+$J240+NPV(dr_hi_ship1,$K240:Y240)</f>
        <v>0</v>
      </c>
      <c r="Z416" s="63">
        <f>-capex_ship1*10^6+$J240+NPV(dr_hi_ship1,$K240:Z240)</f>
        <v>0</v>
      </c>
      <c r="AF416" s="108"/>
    </row>
    <row r="417" spans="1:26" x14ac:dyDescent="0.2">
      <c r="A417" s="248"/>
      <c r="B417" s="248">
        <f>ship2</f>
        <v>0</v>
      </c>
      <c r="C417" s="30" t="s">
        <v>17</v>
      </c>
      <c r="D417" s="56" t="e">
        <f>NA()</f>
        <v>#N/A</v>
      </c>
      <c r="E417" s="56" t="e">
        <f>NA()</f>
        <v>#N/A</v>
      </c>
      <c r="F417" s="56" t="e">
        <f>NA()</f>
        <v>#N/A</v>
      </c>
      <c r="G417" s="56" t="e">
        <f>NA()</f>
        <v>#N/A</v>
      </c>
      <c r="H417" s="56" t="e">
        <f>NA()</f>
        <v>#N/A</v>
      </c>
      <c r="I417" s="56" t="e">
        <f>NA()</f>
        <v>#N/A</v>
      </c>
      <c r="J417" s="56">
        <f>-capex_ship2*10^6+$J241</f>
        <v>0</v>
      </c>
      <c r="K417" s="56">
        <f>-capex_ship2*10^6+$J241+NPV(dr_lo_ship2,$K241:K241)</f>
        <v>0</v>
      </c>
      <c r="L417" s="56">
        <f>-capex_ship2*10^6+$J241+NPV(dr_lo_ship2,$K241:L241)</f>
        <v>0</v>
      </c>
      <c r="M417" s="56">
        <f>-capex_ship2*10^6+$J241+NPV(dr_lo_ship2,$K241:M241)</f>
        <v>0</v>
      </c>
      <c r="N417" s="56">
        <f>-capex_ship2*10^6+$J241+NPV(dr_lo_ship2,$K241:N241)</f>
        <v>0</v>
      </c>
      <c r="O417" s="56">
        <f>-capex_ship2*10^6+$J241+NPV(dr_lo_ship2,$K241:O241)</f>
        <v>0</v>
      </c>
      <c r="P417" s="56">
        <f>-capex_ship2*10^6+$J241+NPV(dr_lo_ship2,$K241:P241)</f>
        <v>0</v>
      </c>
      <c r="Q417" s="56">
        <f>-capex_ship2*10^6+$J241+NPV(dr_lo_ship2,$K241:Q241)</f>
        <v>0</v>
      </c>
      <c r="R417" s="56">
        <f>-capex_ship2*10^6+$J241+NPV(dr_lo_ship2,$K241:R241)</f>
        <v>0</v>
      </c>
      <c r="S417" s="56">
        <f>-capex_ship2*10^6+$J241+NPV(dr_lo_ship2,$K241:S241)</f>
        <v>0</v>
      </c>
      <c r="T417" s="56">
        <f>-capex_ship2*10^6+$J241+NPV(dr_lo_ship2,$K241:T241)</f>
        <v>0</v>
      </c>
      <c r="U417" s="56">
        <f>-capex_ship2*10^6+$J241+NPV(dr_lo_ship2,$K241:U241)</f>
        <v>0</v>
      </c>
      <c r="V417" s="56">
        <f>-capex_ship2*10^6+$J241+NPV(dr_lo_ship2,$K241:V241)</f>
        <v>0</v>
      </c>
      <c r="W417" s="56">
        <f>-capex_ship2*10^6+$J241+NPV(dr_lo_ship2,$K241:W241)</f>
        <v>0</v>
      </c>
      <c r="X417" s="56">
        <f>-capex_ship2*10^6+$J241+NPV(dr_lo_ship2,$K241:X241)</f>
        <v>0</v>
      </c>
      <c r="Y417" s="56">
        <f>-capex_ship2*10^6+$J241+NPV(dr_lo_ship2,$K241:Y241)</f>
        <v>0</v>
      </c>
      <c r="Z417" s="56">
        <f>-capex_ship2*10^6+$J241+NPV(dr_lo_ship2,$K241:Z241)</f>
        <v>0</v>
      </c>
    </row>
    <row r="418" spans="1:26" x14ac:dyDescent="0.2">
      <c r="A418" s="248"/>
      <c r="B418" s="248"/>
      <c r="C418" s="30" t="s">
        <v>18</v>
      </c>
      <c r="D418" s="60" t="e">
        <f>NA()</f>
        <v>#N/A</v>
      </c>
      <c r="E418" s="60" t="e">
        <f>NA()</f>
        <v>#N/A</v>
      </c>
      <c r="F418" s="60" t="e">
        <f>NA()</f>
        <v>#N/A</v>
      </c>
      <c r="G418" s="60" t="e">
        <f>NA()</f>
        <v>#N/A</v>
      </c>
      <c r="H418" s="60" t="e">
        <f>NA()</f>
        <v>#N/A</v>
      </c>
      <c r="I418" s="60" t="e">
        <f>NA()</f>
        <v>#N/A</v>
      </c>
      <c r="J418" s="60">
        <f>-capex_ship2*10^6+$J242</f>
        <v>0</v>
      </c>
      <c r="K418" s="60">
        <f>-capex_ship2*10^6+$J242+NPV(dr_med_ship2,$K242:K242)</f>
        <v>0</v>
      </c>
      <c r="L418" s="60">
        <f>-capex_ship2*10^6+$J242+NPV(dr_med_ship2,$K242:L242)</f>
        <v>0</v>
      </c>
      <c r="M418" s="60">
        <f>-capex_ship2*10^6+$J242+NPV(dr_med_ship2,$K242:M242)</f>
        <v>0</v>
      </c>
      <c r="N418" s="60">
        <f>-capex_ship2*10^6+$J242+NPV(dr_med_ship2,$K242:N242)</f>
        <v>0</v>
      </c>
      <c r="O418" s="60">
        <f>-capex_ship2*10^6+$J242+NPV(dr_med_ship2,$K242:O242)</f>
        <v>0</v>
      </c>
      <c r="P418" s="60">
        <f>-capex_ship2*10^6+$J242+NPV(dr_med_ship2,$K242:P242)</f>
        <v>0</v>
      </c>
      <c r="Q418" s="60">
        <f>-capex_ship2*10^6+$J242+NPV(dr_med_ship2,$K242:Q242)</f>
        <v>0</v>
      </c>
      <c r="R418" s="60">
        <f>-capex_ship2*10^6+$J242+NPV(dr_med_ship2,$K242:R242)</f>
        <v>0</v>
      </c>
      <c r="S418" s="60">
        <f>-capex_ship2*10^6+$J242+NPV(dr_med_ship2,$K242:S242)</f>
        <v>0</v>
      </c>
      <c r="T418" s="60">
        <f>-capex_ship2*10^6+$J242+NPV(dr_med_ship2,$K242:T242)</f>
        <v>0</v>
      </c>
      <c r="U418" s="60">
        <f>-capex_ship2*10^6+$J242+NPV(dr_med_ship2,$K242:U242)</f>
        <v>0</v>
      </c>
      <c r="V418" s="60">
        <f>-capex_ship2*10^6+$J242+NPV(dr_med_ship2,$K242:V242)</f>
        <v>0</v>
      </c>
      <c r="W418" s="60">
        <f>-capex_ship2*10^6+$J242+NPV(dr_med_ship2,$K242:W242)</f>
        <v>0</v>
      </c>
      <c r="X418" s="60">
        <f>-capex_ship2*10^6+$J242+NPV(dr_med_ship2,$K242:X242)</f>
        <v>0</v>
      </c>
      <c r="Y418" s="60">
        <f>-capex_ship2*10^6+$J242+NPV(dr_med_ship2,$K242:Y242)</f>
        <v>0</v>
      </c>
      <c r="Z418" s="60">
        <f>-capex_ship2*10^6+$J242+NPV(dr_med_ship2,$K242:Z242)</f>
        <v>0</v>
      </c>
    </row>
    <row r="419" spans="1:26" x14ac:dyDescent="0.2">
      <c r="A419" s="248"/>
      <c r="B419" s="248"/>
      <c r="C419" s="30" t="s">
        <v>19</v>
      </c>
      <c r="D419" s="63" t="e">
        <f>NA()</f>
        <v>#N/A</v>
      </c>
      <c r="E419" s="63" t="e">
        <f>NA()</f>
        <v>#N/A</v>
      </c>
      <c r="F419" s="63" t="e">
        <f>NA()</f>
        <v>#N/A</v>
      </c>
      <c r="G419" s="63" t="e">
        <f>NA()</f>
        <v>#N/A</v>
      </c>
      <c r="H419" s="63" t="e">
        <f>NA()</f>
        <v>#N/A</v>
      </c>
      <c r="I419" s="63" t="e">
        <f>NA()</f>
        <v>#N/A</v>
      </c>
      <c r="J419" s="63">
        <f>-capex_ship2*10^6+$J243</f>
        <v>0</v>
      </c>
      <c r="K419" s="63">
        <f>-capex_ship2*10^6+$J243+NPV(dr_hi_ship2,$K243:K243)</f>
        <v>0</v>
      </c>
      <c r="L419" s="63">
        <f>-capex_ship2*10^6+$J243+NPV(dr_hi_ship2,$K243:L243)</f>
        <v>0</v>
      </c>
      <c r="M419" s="63">
        <f>-capex_ship2*10^6+$J243+NPV(dr_hi_ship2,$K243:M243)</f>
        <v>0</v>
      </c>
      <c r="N419" s="63">
        <f>-capex_ship2*10^6+$J243+NPV(dr_hi_ship2,$K243:N243)</f>
        <v>0</v>
      </c>
      <c r="O419" s="63">
        <f>-capex_ship2*10^6+$J243+NPV(dr_hi_ship2,$K243:O243)</f>
        <v>0</v>
      </c>
      <c r="P419" s="63">
        <f>-capex_ship2*10^6+$J243+NPV(dr_hi_ship2,$K243:P243)</f>
        <v>0</v>
      </c>
      <c r="Q419" s="63">
        <f>-capex_ship2*10^6+$J243+NPV(dr_hi_ship2,$K243:Q243)</f>
        <v>0</v>
      </c>
      <c r="R419" s="63">
        <f>-capex_ship2*10^6+$J243+NPV(dr_hi_ship2,$K243:R243)</f>
        <v>0</v>
      </c>
      <c r="S419" s="63">
        <f>-capex_ship2*10^6+$J243+NPV(dr_hi_ship2,$K243:S243)</f>
        <v>0</v>
      </c>
      <c r="T419" s="63">
        <f>-capex_ship2*10^6+$J243+NPV(dr_hi_ship2,$K243:T243)</f>
        <v>0</v>
      </c>
      <c r="U419" s="63">
        <f>-capex_ship2*10^6+$J243+NPV(dr_hi_ship2,$K243:U243)</f>
        <v>0</v>
      </c>
      <c r="V419" s="63">
        <f>-capex_ship2*10^6+$J243+NPV(dr_hi_ship2,$K243:V243)</f>
        <v>0</v>
      </c>
      <c r="W419" s="63">
        <f>-capex_ship2*10^6+$J243+NPV(dr_hi_ship2,$K243:W243)</f>
        <v>0</v>
      </c>
      <c r="X419" s="63">
        <f>-capex_ship2*10^6+$J243+NPV(dr_hi_ship2,$K243:X243)</f>
        <v>0</v>
      </c>
      <c r="Y419" s="63">
        <f>-capex_ship2*10^6+$J243+NPV(dr_hi_ship2,$K243:Y243)</f>
        <v>0</v>
      </c>
      <c r="Z419" s="63">
        <f>-capex_ship2*10^6+$J243+NPV(dr_hi_ship2,$K243:Z243)</f>
        <v>0</v>
      </c>
    </row>
    <row r="420" spans="1:26" x14ac:dyDescent="0.2">
      <c r="A420" s="248"/>
      <c r="B420" s="248">
        <f>ship3</f>
        <v>0</v>
      </c>
      <c r="C420" s="30" t="s">
        <v>17</v>
      </c>
      <c r="D420" s="56" t="e">
        <f>NA()</f>
        <v>#N/A</v>
      </c>
      <c r="E420" s="56" t="e">
        <f>NA()</f>
        <v>#N/A</v>
      </c>
      <c r="F420" s="56" t="e">
        <f>NA()</f>
        <v>#N/A</v>
      </c>
      <c r="G420" s="56" t="e">
        <f>NA()</f>
        <v>#N/A</v>
      </c>
      <c r="H420" s="56" t="e">
        <f>NA()</f>
        <v>#N/A</v>
      </c>
      <c r="I420" s="56" t="e">
        <f>NA()</f>
        <v>#N/A</v>
      </c>
      <c r="J420" s="56">
        <f>-capex_ship3*10^6+$J244</f>
        <v>0</v>
      </c>
      <c r="K420" s="56">
        <f>-capex_ship3*10^6+$J244+NPV(dr_lo_ship3,$K244:K244)</f>
        <v>0</v>
      </c>
      <c r="L420" s="56">
        <f>-capex_ship3*10^6+$J244+NPV(dr_lo_ship3,$K244:L244)</f>
        <v>0</v>
      </c>
      <c r="M420" s="56">
        <f>-capex_ship3*10^6+$J244+NPV(dr_lo_ship3,$K244:M244)</f>
        <v>0</v>
      </c>
      <c r="N420" s="56">
        <f>-capex_ship3*10^6+$J244+NPV(dr_lo_ship3,$K244:N244)</f>
        <v>0</v>
      </c>
      <c r="O420" s="56">
        <f>-capex_ship3*10^6+$J244+NPV(dr_lo_ship3,$K244:O244)</f>
        <v>0</v>
      </c>
      <c r="P420" s="56">
        <f>-capex_ship3*10^6+$J244+NPV(dr_lo_ship3,$K244:P244)</f>
        <v>0</v>
      </c>
      <c r="Q420" s="56">
        <f>-capex_ship3*10^6+$J244+NPV(dr_lo_ship3,$K244:Q244)</f>
        <v>0</v>
      </c>
      <c r="R420" s="56">
        <f>-capex_ship3*10^6+$J244+NPV(dr_lo_ship3,$K244:R244)</f>
        <v>0</v>
      </c>
      <c r="S420" s="56">
        <f>-capex_ship3*10^6+$J244+NPV(dr_lo_ship3,$K244:S244)</f>
        <v>0</v>
      </c>
      <c r="T420" s="56">
        <f>-capex_ship3*10^6+$J244+NPV(dr_lo_ship3,$K244:T244)</f>
        <v>0</v>
      </c>
      <c r="U420" s="56">
        <f>-capex_ship3*10^6+$J244+NPV(dr_lo_ship3,$K244:U244)</f>
        <v>0</v>
      </c>
      <c r="V420" s="56">
        <f>-capex_ship3*10^6+$J244+NPV(dr_lo_ship3,$K244:V244)</f>
        <v>0</v>
      </c>
      <c r="W420" s="56">
        <f>-capex_ship3*10^6+$J244+NPV(dr_lo_ship3,$K244:W244)</f>
        <v>0</v>
      </c>
      <c r="X420" s="56">
        <f>-capex_ship3*10^6+$J244+NPV(dr_lo_ship3,$K244:X244)</f>
        <v>0</v>
      </c>
      <c r="Y420" s="56">
        <f>-capex_ship3*10^6+$J244+NPV(dr_lo_ship3,$K244:Y244)</f>
        <v>0</v>
      </c>
      <c r="Z420" s="56">
        <f>-capex_ship3*10^6+$J244+NPV(dr_lo_ship3,$K244:Z244)</f>
        <v>0</v>
      </c>
    </row>
    <row r="421" spans="1:26" x14ac:dyDescent="0.2">
      <c r="A421" s="248"/>
      <c r="B421" s="248"/>
      <c r="C421" s="30" t="s">
        <v>18</v>
      </c>
      <c r="D421" s="60" t="e">
        <f>NA()</f>
        <v>#N/A</v>
      </c>
      <c r="E421" s="60" t="e">
        <f>NA()</f>
        <v>#N/A</v>
      </c>
      <c r="F421" s="60" t="e">
        <f>NA()</f>
        <v>#N/A</v>
      </c>
      <c r="G421" s="60" t="e">
        <f>NA()</f>
        <v>#N/A</v>
      </c>
      <c r="H421" s="60" t="e">
        <f>NA()</f>
        <v>#N/A</v>
      </c>
      <c r="I421" s="60" t="e">
        <f>NA()</f>
        <v>#N/A</v>
      </c>
      <c r="J421" s="60">
        <f>-capex_ship3*10^6+$J245</f>
        <v>0</v>
      </c>
      <c r="K421" s="60">
        <f>-capex_ship3*10^6+$J245+NPV(dr_med_ship3,$K245:K245)</f>
        <v>0</v>
      </c>
      <c r="L421" s="60">
        <f>-capex_ship3*10^6+$J245+NPV(dr_med_ship3,$K245:L245)</f>
        <v>0</v>
      </c>
      <c r="M421" s="60">
        <f>-capex_ship3*10^6+$J245+NPV(dr_med_ship3,$K245:M245)</f>
        <v>0</v>
      </c>
      <c r="N421" s="60">
        <f>-capex_ship3*10^6+$J245+NPV(dr_med_ship3,$K245:N245)</f>
        <v>0</v>
      </c>
      <c r="O421" s="60">
        <f>-capex_ship3*10^6+$J245+NPV(dr_med_ship3,$K245:O245)</f>
        <v>0</v>
      </c>
      <c r="P421" s="60">
        <f>-capex_ship3*10^6+$J245+NPV(dr_med_ship3,$K245:P245)</f>
        <v>0</v>
      </c>
      <c r="Q421" s="60">
        <f>-capex_ship3*10^6+$J245+NPV(dr_med_ship3,$K245:Q245)</f>
        <v>0</v>
      </c>
      <c r="R421" s="60">
        <f>-capex_ship3*10^6+$J245+NPV(dr_med_ship3,$K245:R245)</f>
        <v>0</v>
      </c>
      <c r="S421" s="60">
        <f>-capex_ship3*10^6+$J245+NPV(dr_med_ship3,$K245:S245)</f>
        <v>0</v>
      </c>
      <c r="T421" s="60">
        <f>-capex_ship3*10^6+$J245+NPV(dr_med_ship3,$K245:T245)</f>
        <v>0</v>
      </c>
      <c r="U421" s="60">
        <f>-capex_ship3*10^6+$J245+NPV(dr_med_ship3,$K245:U245)</f>
        <v>0</v>
      </c>
      <c r="V421" s="60">
        <f>-capex_ship3*10^6+$J245+NPV(dr_med_ship3,$K245:V245)</f>
        <v>0</v>
      </c>
      <c r="W421" s="60">
        <f>-capex_ship3*10^6+$J245+NPV(dr_med_ship3,$K245:W245)</f>
        <v>0</v>
      </c>
      <c r="X421" s="60">
        <f>-capex_ship3*10^6+$J245+NPV(dr_med_ship3,$K245:X245)</f>
        <v>0</v>
      </c>
      <c r="Y421" s="60">
        <f>-capex_ship3*10^6+$J245+NPV(dr_med_ship3,$K245:Y245)</f>
        <v>0</v>
      </c>
      <c r="Z421" s="60">
        <f>-capex_ship3*10^6+$J245+NPV(dr_med_ship3,$K245:Z245)</f>
        <v>0</v>
      </c>
    </row>
    <row r="422" spans="1:26" x14ac:dyDescent="0.2">
      <c r="A422" s="248"/>
      <c r="B422" s="248"/>
      <c r="C422" s="30" t="s">
        <v>19</v>
      </c>
      <c r="D422" s="63" t="e">
        <f>NA()</f>
        <v>#N/A</v>
      </c>
      <c r="E422" s="63" t="e">
        <f>NA()</f>
        <v>#N/A</v>
      </c>
      <c r="F422" s="63" t="e">
        <f>NA()</f>
        <v>#N/A</v>
      </c>
      <c r="G422" s="63" t="e">
        <f>NA()</f>
        <v>#N/A</v>
      </c>
      <c r="H422" s="63" t="e">
        <f>NA()</f>
        <v>#N/A</v>
      </c>
      <c r="I422" s="63" t="e">
        <f>NA()</f>
        <v>#N/A</v>
      </c>
      <c r="J422" s="63">
        <f>-capex_ship3*10^6+$J246</f>
        <v>0</v>
      </c>
      <c r="K422" s="63">
        <f>-capex_ship3*10^6+$J246+NPV(dr_hi_ship3,$K246:K246)</f>
        <v>0</v>
      </c>
      <c r="L422" s="63">
        <f>-capex_ship3*10^6+$J246+NPV(dr_hi_ship3,$K246:L246)</f>
        <v>0</v>
      </c>
      <c r="M422" s="63">
        <f>-capex_ship3*10^6+$J246+NPV(dr_hi_ship3,$K246:M246)</f>
        <v>0</v>
      </c>
      <c r="N422" s="63">
        <f>-capex_ship3*10^6+$J246+NPV(dr_hi_ship3,$K246:N246)</f>
        <v>0</v>
      </c>
      <c r="O422" s="63">
        <f>-capex_ship3*10^6+$J246+NPV(dr_hi_ship3,$K246:O246)</f>
        <v>0</v>
      </c>
      <c r="P422" s="63">
        <f>-capex_ship3*10^6+$J246+NPV(dr_hi_ship3,$K246:P246)</f>
        <v>0</v>
      </c>
      <c r="Q422" s="63">
        <f>-capex_ship3*10^6+$J246+NPV(dr_hi_ship3,$K246:Q246)</f>
        <v>0</v>
      </c>
      <c r="R422" s="63">
        <f>-capex_ship3*10^6+$J246+NPV(dr_hi_ship3,$K246:R246)</f>
        <v>0</v>
      </c>
      <c r="S422" s="63">
        <f>-capex_ship3*10^6+$J246+NPV(dr_hi_ship3,$K246:S246)</f>
        <v>0</v>
      </c>
      <c r="T422" s="63">
        <f>-capex_ship3*10^6+$J246+NPV(dr_hi_ship3,$K246:T246)</f>
        <v>0</v>
      </c>
      <c r="U422" s="63">
        <f>-capex_ship3*10^6+$J246+NPV(dr_hi_ship3,$K246:U246)</f>
        <v>0</v>
      </c>
      <c r="V422" s="63">
        <f>-capex_ship3*10^6+$J246+NPV(dr_hi_ship3,$K246:V246)</f>
        <v>0</v>
      </c>
      <c r="W422" s="63">
        <f>-capex_ship3*10^6+$J246+NPV(dr_hi_ship3,$K246:W246)</f>
        <v>0</v>
      </c>
      <c r="X422" s="63">
        <f>-capex_ship3*10^6+$J246+NPV(dr_hi_ship3,$K246:X246)</f>
        <v>0</v>
      </c>
      <c r="Y422" s="63">
        <f>-capex_ship3*10^6+$J246+NPV(dr_hi_ship3,$K246:Y246)</f>
        <v>0</v>
      </c>
      <c r="Z422" s="63">
        <f>-capex_ship3*10^6+$J246+NPV(dr_hi_ship3,$K246:Z246)</f>
        <v>0</v>
      </c>
    </row>
    <row r="423" spans="1:26" x14ac:dyDescent="0.2">
      <c r="A423" s="248"/>
      <c r="B423" s="248">
        <f>ship4</f>
        <v>0</v>
      </c>
      <c r="C423" s="30" t="s">
        <v>17</v>
      </c>
      <c r="D423" s="56" t="e">
        <f>NA()</f>
        <v>#N/A</v>
      </c>
      <c r="E423" s="56" t="e">
        <f>NA()</f>
        <v>#N/A</v>
      </c>
      <c r="F423" s="56" t="e">
        <f>NA()</f>
        <v>#N/A</v>
      </c>
      <c r="G423" s="56" t="e">
        <f>NA()</f>
        <v>#N/A</v>
      </c>
      <c r="H423" s="56" t="e">
        <f>NA()</f>
        <v>#N/A</v>
      </c>
      <c r="I423" s="56" t="e">
        <f>NA()</f>
        <v>#N/A</v>
      </c>
      <c r="J423" s="56">
        <f>-capex_ship4*10^6+$J247</f>
        <v>0</v>
      </c>
      <c r="K423" s="56">
        <f>-capex_ship4*10^6+$J247+NPV(dr_lo_ship4,$K247:K247)</f>
        <v>0</v>
      </c>
      <c r="L423" s="56">
        <f>-capex_ship4*10^6+$J247+NPV(dr_lo_ship4,$K247:L247)</f>
        <v>0</v>
      </c>
      <c r="M423" s="56">
        <f>-capex_ship4*10^6+$J247+NPV(dr_lo_ship4,$K247:M247)</f>
        <v>0</v>
      </c>
      <c r="N423" s="56">
        <f>-capex_ship4*10^6+$J247+NPV(dr_lo_ship4,$K247:N247)</f>
        <v>0</v>
      </c>
      <c r="O423" s="56">
        <f>-capex_ship4*10^6+$J247+NPV(dr_lo_ship4,$K247:O247)</f>
        <v>0</v>
      </c>
      <c r="P423" s="56">
        <f>-capex_ship4*10^6+$J247+NPV(dr_lo_ship4,$K247:P247)</f>
        <v>0</v>
      </c>
      <c r="Q423" s="56">
        <f>-capex_ship4*10^6+$J247+NPV(dr_lo_ship4,$K247:Q247)</f>
        <v>0</v>
      </c>
      <c r="R423" s="56">
        <f>-capex_ship4*10^6+$J247+NPV(dr_lo_ship4,$K247:R247)</f>
        <v>0</v>
      </c>
      <c r="S423" s="56">
        <f>-capex_ship4*10^6+$J247+NPV(dr_lo_ship4,$K247:S247)</f>
        <v>0</v>
      </c>
      <c r="T423" s="56">
        <f>-capex_ship4*10^6+$J247+NPV(dr_lo_ship4,$K247:T247)</f>
        <v>0</v>
      </c>
      <c r="U423" s="56">
        <f>-capex_ship4*10^6+$J247+NPV(dr_lo_ship4,$K247:U247)</f>
        <v>0</v>
      </c>
      <c r="V423" s="56">
        <f>-capex_ship4*10^6+$J247+NPV(dr_lo_ship4,$K247:V247)</f>
        <v>0</v>
      </c>
      <c r="W423" s="56">
        <f>-capex_ship4*10^6+$J247+NPV(dr_lo_ship4,$K247:W247)</f>
        <v>0</v>
      </c>
      <c r="X423" s="56">
        <f>-capex_ship4*10^6+$J247+NPV(dr_lo_ship4,$K247:X247)</f>
        <v>0</v>
      </c>
      <c r="Y423" s="56">
        <f>-capex_ship4*10^6+$J247+NPV(dr_lo_ship4,$K247:Y247)</f>
        <v>0</v>
      </c>
      <c r="Z423" s="56">
        <f>-capex_ship4*10^6+$J247+NPV(dr_lo_ship4,$K247:Z247)</f>
        <v>0</v>
      </c>
    </row>
    <row r="424" spans="1:26" x14ac:dyDescent="0.2">
      <c r="A424" s="248"/>
      <c r="B424" s="248"/>
      <c r="C424" s="30" t="s">
        <v>18</v>
      </c>
      <c r="D424" s="60" t="e">
        <f>NA()</f>
        <v>#N/A</v>
      </c>
      <c r="E424" s="60" t="e">
        <f>NA()</f>
        <v>#N/A</v>
      </c>
      <c r="F424" s="60" t="e">
        <f>NA()</f>
        <v>#N/A</v>
      </c>
      <c r="G424" s="60" t="e">
        <f>NA()</f>
        <v>#N/A</v>
      </c>
      <c r="H424" s="60" t="e">
        <f>NA()</f>
        <v>#N/A</v>
      </c>
      <c r="I424" s="60" t="e">
        <f>NA()</f>
        <v>#N/A</v>
      </c>
      <c r="J424" s="60">
        <f>-capex_ship4*10^6+$J248</f>
        <v>0</v>
      </c>
      <c r="K424" s="60">
        <f>-capex_ship4*10^6+$J248+NPV(dr_med_ship4,$K248:K248)</f>
        <v>0</v>
      </c>
      <c r="L424" s="60">
        <f>-capex_ship4*10^6+$J248+NPV(dr_med_ship4,$K248:L248)</f>
        <v>0</v>
      </c>
      <c r="M424" s="60">
        <f>-capex_ship4*10^6+$J248+NPV(dr_med_ship4,$K248:M248)</f>
        <v>0</v>
      </c>
      <c r="N424" s="60">
        <f>-capex_ship4*10^6+$J248+NPV(dr_med_ship4,$K248:N248)</f>
        <v>0</v>
      </c>
      <c r="O424" s="60">
        <f>-capex_ship4*10^6+$J248+NPV(dr_med_ship4,$K248:O248)</f>
        <v>0</v>
      </c>
      <c r="P424" s="60">
        <f>-capex_ship4*10^6+$J248+NPV(dr_med_ship4,$K248:P248)</f>
        <v>0</v>
      </c>
      <c r="Q424" s="60">
        <f>-capex_ship4*10^6+$J248+NPV(dr_med_ship4,$K248:Q248)</f>
        <v>0</v>
      </c>
      <c r="R424" s="60">
        <f>-capex_ship4*10^6+$J248+NPV(dr_med_ship4,$K248:R248)</f>
        <v>0</v>
      </c>
      <c r="S424" s="60">
        <f>-capex_ship4*10^6+$J248+NPV(dr_med_ship4,$K248:S248)</f>
        <v>0</v>
      </c>
      <c r="T424" s="60">
        <f>-capex_ship4*10^6+$J248+NPV(dr_med_ship4,$K248:T248)</f>
        <v>0</v>
      </c>
      <c r="U424" s="60">
        <f>-capex_ship4*10^6+$J248+NPV(dr_med_ship4,$K248:U248)</f>
        <v>0</v>
      </c>
      <c r="V424" s="60">
        <f>-capex_ship4*10^6+$J248+NPV(dr_med_ship4,$K248:V248)</f>
        <v>0</v>
      </c>
      <c r="W424" s="60">
        <f>-capex_ship4*10^6+$J248+NPV(dr_med_ship4,$K248:W248)</f>
        <v>0</v>
      </c>
      <c r="X424" s="60">
        <f>-capex_ship4*10^6+$J248+NPV(dr_med_ship4,$K248:X248)</f>
        <v>0</v>
      </c>
      <c r="Y424" s="60">
        <f>-capex_ship4*10^6+$J248+NPV(dr_med_ship4,$K248:Y248)</f>
        <v>0</v>
      </c>
      <c r="Z424" s="60">
        <f>-capex_ship4*10^6+$J248+NPV(dr_med_ship4,$K248:Z248)</f>
        <v>0</v>
      </c>
    </row>
    <row r="425" spans="1:26" x14ac:dyDescent="0.2">
      <c r="A425" s="248"/>
      <c r="B425" s="248"/>
      <c r="C425" s="30" t="s">
        <v>19</v>
      </c>
      <c r="D425" s="63" t="e">
        <f>NA()</f>
        <v>#N/A</v>
      </c>
      <c r="E425" s="63" t="e">
        <f>NA()</f>
        <v>#N/A</v>
      </c>
      <c r="F425" s="63" t="e">
        <f>NA()</f>
        <v>#N/A</v>
      </c>
      <c r="G425" s="63" t="e">
        <f>NA()</f>
        <v>#N/A</v>
      </c>
      <c r="H425" s="63" t="e">
        <f>NA()</f>
        <v>#N/A</v>
      </c>
      <c r="I425" s="63" t="e">
        <f>NA()</f>
        <v>#N/A</v>
      </c>
      <c r="J425" s="63">
        <f>-capex_ship4*10^6+$J249</f>
        <v>0</v>
      </c>
      <c r="K425" s="63">
        <f>-capex_ship4*10^6+$J249+NPV(dr_hi_ship4,$K249:K249)</f>
        <v>0</v>
      </c>
      <c r="L425" s="63">
        <f>-capex_ship4*10^6+$J249+NPV(dr_hi_ship4,$K249:L249)</f>
        <v>0</v>
      </c>
      <c r="M425" s="63">
        <f>-capex_ship4*10^6+$J249+NPV(dr_hi_ship4,$K249:M249)</f>
        <v>0</v>
      </c>
      <c r="N425" s="63">
        <f>-capex_ship4*10^6+$J249+NPV(dr_hi_ship4,$K249:N249)</f>
        <v>0</v>
      </c>
      <c r="O425" s="63">
        <f>-capex_ship4*10^6+$J249+NPV(dr_hi_ship4,$K249:O249)</f>
        <v>0</v>
      </c>
      <c r="P425" s="63">
        <f>-capex_ship4*10^6+$J249+NPV(dr_hi_ship4,$K249:P249)</f>
        <v>0</v>
      </c>
      <c r="Q425" s="63">
        <f>-capex_ship4*10^6+$J249+NPV(dr_hi_ship4,$K249:Q249)</f>
        <v>0</v>
      </c>
      <c r="R425" s="63">
        <f>-capex_ship4*10^6+$J249+NPV(dr_hi_ship4,$K249:R249)</f>
        <v>0</v>
      </c>
      <c r="S425" s="63">
        <f>-capex_ship4*10^6+$J249+NPV(dr_hi_ship4,$K249:S249)</f>
        <v>0</v>
      </c>
      <c r="T425" s="63">
        <f>-capex_ship4*10^6+$J249+NPV(dr_hi_ship4,$K249:T249)</f>
        <v>0</v>
      </c>
      <c r="U425" s="63">
        <f>-capex_ship4*10^6+$J249+NPV(dr_hi_ship4,$K249:U249)</f>
        <v>0</v>
      </c>
      <c r="V425" s="63">
        <f>-capex_ship4*10^6+$J249+NPV(dr_hi_ship4,$K249:V249)</f>
        <v>0</v>
      </c>
      <c r="W425" s="63">
        <f>-capex_ship4*10^6+$J249+NPV(dr_hi_ship4,$K249:W249)</f>
        <v>0</v>
      </c>
      <c r="X425" s="63">
        <f>-capex_ship4*10^6+$J249+NPV(dr_hi_ship4,$K249:X249)</f>
        <v>0</v>
      </c>
      <c r="Y425" s="63">
        <f>-capex_ship4*10^6+$J249+NPV(dr_hi_ship4,$K249:Y249)</f>
        <v>0</v>
      </c>
      <c r="Z425" s="63">
        <f>-capex_ship4*10^6+$J249+NPV(dr_hi_ship4,$K249:Z249)</f>
        <v>0</v>
      </c>
    </row>
    <row r="426" spans="1:26" x14ac:dyDescent="0.2">
      <c r="A426" s="248"/>
      <c r="B426" s="248">
        <f>ship5</f>
        <v>0</v>
      </c>
      <c r="C426" s="30" t="s">
        <v>17</v>
      </c>
      <c r="D426" s="56" t="e">
        <f>NA()</f>
        <v>#N/A</v>
      </c>
      <c r="E426" s="56" t="e">
        <f>NA()</f>
        <v>#N/A</v>
      </c>
      <c r="F426" s="56" t="e">
        <f>NA()</f>
        <v>#N/A</v>
      </c>
      <c r="G426" s="56" t="e">
        <f>NA()</f>
        <v>#N/A</v>
      </c>
      <c r="H426" s="56" t="e">
        <f>NA()</f>
        <v>#N/A</v>
      </c>
      <c r="I426" s="56" t="e">
        <f>NA()</f>
        <v>#N/A</v>
      </c>
      <c r="J426" s="56">
        <f>-capex_ship5*10^6+$J250</f>
        <v>0</v>
      </c>
      <c r="K426" s="56">
        <f>-capex_ship5*10^6+$J250+NPV(dr_lo_ship5,$K250:K250)</f>
        <v>0</v>
      </c>
      <c r="L426" s="56">
        <f>-capex_ship5*10^6+$J250+NPV(dr_lo_ship5,$K250:L250)</f>
        <v>0</v>
      </c>
      <c r="M426" s="56">
        <f>-capex_ship5*10^6+$J250+NPV(dr_lo_ship5,$K250:M250)</f>
        <v>0</v>
      </c>
      <c r="N426" s="56">
        <f>-capex_ship5*10^6+$J250+NPV(dr_lo_ship5,$K250:N250)</f>
        <v>0</v>
      </c>
      <c r="O426" s="56">
        <f>-capex_ship5*10^6+$J250+NPV(dr_lo_ship5,$K250:O250)</f>
        <v>0</v>
      </c>
      <c r="P426" s="56">
        <f>-capex_ship5*10^6+$J250+NPV(dr_lo_ship5,$K250:P250)</f>
        <v>0</v>
      </c>
      <c r="Q426" s="56">
        <f>-capex_ship5*10^6+$J250+NPV(dr_lo_ship5,$K250:Q250)</f>
        <v>0</v>
      </c>
      <c r="R426" s="56">
        <f>-capex_ship5*10^6+$J250+NPV(dr_lo_ship5,$K250:R250)</f>
        <v>0</v>
      </c>
      <c r="S426" s="56">
        <f>-capex_ship5*10^6+$J250+NPV(dr_lo_ship5,$K250:S250)</f>
        <v>0</v>
      </c>
      <c r="T426" s="56">
        <f>-capex_ship5*10^6+$J250+NPV(dr_lo_ship5,$K250:T250)</f>
        <v>0</v>
      </c>
      <c r="U426" s="56">
        <f>-capex_ship5*10^6+$J250+NPV(dr_lo_ship5,$K250:U250)</f>
        <v>0</v>
      </c>
      <c r="V426" s="56">
        <f>-capex_ship5*10^6+$J250+NPV(dr_lo_ship5,$K250:V250)</f>
        <v>0</v>
      </c>
      <c r="W426" s="56">
        <f>-capex_ship5*10^6+$J250+NPV(dr_lo_ship5,$K250:W250)</f>
        <v>0</v>
      </c>
      <c r="X426" s="56">
        <f>-capex_ship5*10^6+$J250+NPV(dr_lo_ship5,$K250:X250)</f>
        <v>0</v>
      </c>
      <c r="Y426" s="56">
        <f>-capex_ship5*10^6+$J250+NPV(dr_lo_ship5,$K250:Y250)</f>
        <v>0</v>
      </c>
      <c r="Z426" s="56">
        <f>-capex_ship5*10^6+$J250+NPV(dr_lo_ship5,$K250:Z250)</f>
        <v>0</v>
      </c>
    </row>
    <row r="427" spans="1:26" x14ac:dyDescent="0.2">
      <c r="A427" s="248"/>
      <c r="B427" s="248"/>
      <c r="C427" s="30" t="s">
        <v>18</v>
      </c>
      <c r="D427" s="60" t="e">
        <f>NA()</f>
        <v>#N/A</v>
      </c>
      <c r="E427" s="60" t="e">
        <f>NA()</f>
        <v>#N/A</v>
      </c>
      <c r="F427" s="60" t="e">
        <f>NA()</f>
        <v>#N/A</v>
      </c>
      <c r="G427" s="60" t="e">
        <f>NA()</f>
        <v>#N/A</v>
      </c>
      <c r="H427" s="60" t="e">
        <f>NA()</f>
        <v>#N/A</v>
      </c>
      <c r="I427" s="60" t="e">
        <f>NA()</f>
        <v>#N/A</v>
      </c>
      <c r="J427" s="60">
        <f>-capex_ship5*10^6+$J251</f>
        <v>0</v>
      </c>
      <c r="K427" s="60">
        <f>-capex_ship5*10^6+$J251+NPV(dr_med_ship5,$K251:K251)</f>
        <v>0</v>
      </c>
      <c r="L427" s="60">
        <f>-capex_ship5*10^6+$J251+NPV(dr_med_ship5,$K251:L251)</f>
        <v>0</v>
      </c>
      <c r="M427" s="60">
        <f>-capex_ship5*10^6+$J251+NPV(dr_med_ship5,$K251:M251)</f>
        <v>0</v>
      </c>
      <c r="N427" s="60">
        <f>-capex_ship5*10^6+$J251+NPV(dr_med_ship5,$K251:N251)</f>
        <v>0</v>
      </c>
      <c r="O427" s="60">
        <f>-capex_ship5*10^6+$J251+NPV(dr_med_ship5,$K251:O251)</f>
        <v>0</v>
      </c>
      <c r="P427" s="60">
        <f>-capex_ship5*10^6+$J251+NPV(dr_med_ship5,$K251:P251)</f>
        <v>0</v>
      </c>
      <c r="Q427" s="60">
        <f>-capex_ship5*10^6+$J251+NPV(dr_med_ship5,$K251:Q251)</f>
        <v>0</v>
      </c>
      <c r="R427" s="60">
        <f>-capex_ship5*10^6+$J251+NPV(dr_med_ship5,$K251:R251)</f>
        <v>0</v>
      </c>
      <c r="S427" s="60">
        <f>-capex_ship5*10^6+$J251+NPV(dr_med_ship5,$K251:S251)</f>
        <v>0</v>
      </c>
      <c r="T427" s="60">
        <f>-capex_ship5*10^6+$J251+NPV(dr_med_ship5,$K251:T251)</f>
        <v>0</v>
      </c>
      <c r="U427" s="60">
        <f>-capex_ship5*10^6+$J251+NPV(dr_med_ship5,$K251:U251)</f>
        <v>0</v>
      </c>
      <c r="V427" s="60">
        <f>-capex_ship5*10^6+$J251+NPV(dr_med_ship5,$K251:V251)</f>
        <v>0</v>
      </c>
      <c r="W427" s="60">
        <f>-capex_ship5*10^6+$J251+NPV(dr_med_ship5,$K251:W251)</f>
        <v>0</v>
      </c>
      <c r="X427" s="60">
        <f>-capex_ship5*10^6+$J251+NPV(dr_med_ship5,$K251:X251)</f>
        <v>0</v>
      </c>
      <c r="Y427" s="60">
        <f>-capex_ship5*10^6+$J251+NPV(dr_med_ship5,$K251:Y251)</f>
        <v>0</v>
      </c>
      <c r="Z427" s="60">
        <f>-capex_ship5*10^6+$J251+NPV(dr_med_ship5,$K251:Z251)</f>
        <v>0</v>
      </c>
    </row>
    <row r="428" spans="1:26" x14ac:dyDescent="0.2">
      <c r="A428" s="248"/>
      <c r="B428" s="248"/>
      <c r="C428" s="30" t="s">
        <v>19</v>
      </c>
      <c r="D428" s="63" t="e">
        <f>NA()</f>
        <v>#N/A</v>
      </c>
      <c r="E428" s="63" t="e">
        <f>NA()</f>
        <v>#N/A</v>
      </c>
      <c r="F428" s="63" t="e">
        <f>NA()</f>
        <v>#N/A</v>
      </c>
      <c r="G428" s="63" t="e">
        <f>NA()</f>
        <v>#N/A</v>
      </c>
      <c r="H428" s="63" t="e">
        <f>NA()</f>
        <v>#N/A</v>
      </c>
      <c r="I428" s="63" t="e">
        <f>NA()</f>
        <v>#N/A</v>
      </c>
      <c r="J428" s="63">
        <f>-capex_ship5*10^6+$J252</f>
        <v>0</v>
      </c>
      <c r="K428" s="63">
        <f>-capex_ship5*10^6+$J252+NPV(dr_hi_ship5,$K252:K252)</f>
        <v>0</v>
      </c>
      <c r="L428" s="63">
        <f>-capex_ship5*10^6+$J252+NPV(dr_hi_ship5,$K252:L252)</f>
        <v>0</v>
      </c>
      <c r="M428" s="63">
        <f>-capex_ship5*10^6+$J252+NPV(dr_hi_ship5,$K252:M252)</f>
        <v>0</v>
      </c>
      <c r="N428" s="63">
        <f>-capex_ship5*10^6+$J252+NPV(dr_hi_ship5,$K252:N252)</f>
        <v>0</v>
      </c>
      <c r="O428" s="63">
        <f>-capex_ship5*10^6+$J252+NPV(dr_hi_ship5,$K252:O252)</f>
        <v>0</v>
      </c>
      <c r="P428" s="63">
        <f>-capex_ship5*10^6+$J252+NPV(dr_hi_ship5,$K252:P252)</f>
        <v>0</v>
      </c>
      <c r="Q428" s="63">
        <f>-capex_ship5*10^6+$J252+NPV(dr_hi_ship5,$K252:Q252)</f>
        <v>0</v>
      </c>
      <c r="R428" s="63">
        <f>-capex_ship5*10^6+$J252+NPV(dr_hi_ship5,$K252:R252)</f>
        <v>0</v>
      </c>
      <c r="S428" s="63">
        <f>-capex_ship5*10^6+$J252+NPV(dr_hi_ship5,$K252:S252)</f>
        <v>0</v>
      </c>
      <c r="T428" s="63">
        <f>-capex_ship5*10^6+$J252+NPV(dr_hi_ship5,$K252:T252)</f>
        <v>0</v>
      </c>
      <c r="U428" s="63">
        <f>-capex_ship5*10^6+$J252+NPV(dr_hi_ship5,$K252:U252)</f>
        <v>0</v>
      </c>
      <c r="V428" s="63">
        <f>-capex_ship5*10^6+$J252+NPV(dr_hi_ship5,$K252:V252)</f>
        <v>0</v>
      </c>
      <c r="W428" s="63">
        <f>-capex_ship5*10^6+$J252+NPV(dr_hi_ship5,$K252:W252)</f>
        <v>0</v>
      </c>
      <c r="X428" s="63">
        <f>-capex_ship5*10^6+$J252+NPV(dr_hi_ship5,$K252:X252)</f>
        <v>0</v>
      </c>
      <c r="Y428" s="63">
        <f>-capex_ship5*10^6+$J252+NPV(dr_hi_ship5,$K252:Y252)</f>
        <v>0</v>
      </c>
      <c r="Z428" s="63">
        <f>-capex_ship5*10^6+$J252+NPV(dr_hi_ship5,$K252:Z252)</f>
        <v>0</v>
      </c>
    </row>
    <row r="429" spans="1:26" x14ac:dyDescent="0.2">
      <c r="A429" s="248"/>
      <c r="B429" s="248">
        <f>ship6</f>
        <v>0</v>
      </c>
      <c r="C429" s="30" t="s">
        <v>17</v>
      </c>
      <c r="D429" s="56" t="e">
        <f>NA()</f>
        <v>#N/A</v>
      </c>
      <c r="E429" s="56" t="e">
        <f>NA()</f>
        <v>#N/A</v>
      </c>
      <c r="F429" s="56" t="e">
        <f>NA()</f>
        <v>#N/A</v>
      </c>
      <c r="G429" s="56" t="e">
        <f>NA()</f>
        <v>#N/A</v>
      </c>
      <c r="H429" s="56" t="e">
        <f>NA()</f>
        <v>#N/A</v>
      </c>
      <c r="I429" s="56" t="e">
        <f>NA()</f>
        <v>#N/A</v>
      </c>
      <c r="J429" s="56">
        <f>-capex_ship6*10^6+$J253</f>
        <v>0</v>
      </c>
      <c r="K429" s="56">
        <f>-capex_ship6*10^6+$J253+NPV(dr_lo_ship6,$K253:K253)</f>
        <v>0</v>
      </c>
      <c r="L429" s="56">
        <f>-capex_ship6*10^6+$J253+NPV(dr_lo_ship6,$K253:L253)</f>
        <v>0</v>
      </c>
      <c r="M429" s="56">
        <f>-capex_ship6*10^6+$J253+NPV(dr_lo_ship6,$K253:M253)</f>
        <v>0</v>
      </c>
      <c r="N429" s="56">
        <f>-capex_ship6*10^6+$J253+NPV(dr_lo_ship6,$K253:N253)</f>
        <v>0</v>
      </c>
      <c r="O429" s="56">
        <f>-capex_ship6*10^6+$J253+NPV(dr_lo_ship6,$K253:O253)</f>
        <v>0</v>
      </c>
      <c r="P429" s="56">
        <f>-capex_ship6*10^6+$J253+NPV(dr_lo_ship6,$K253:P253)</f>
        <v>0</v>
      </c>
      <c r="Q429" s="56">
        <f>-capex_ship6*10^6+$J253+NPV(dr_lo_ship6,$K253:Q253)</f>
        <v>0</v>
      </c>
      <c r="R429" s="56">
        <f>-capex_ship6*10^6+$J253+NPV(dr_lo_ship6,$K253:R253)</f>
        <v>0</v>
      </c>
      <c r="S429" s="56">
        <f>-capex_ship6*10^6+$J253+NPV(dr_lo_ship6,$K253:S253)</f>
        <v>0</v>
      </c>
      <c r="T429" s="56">
        <f>-capex_ship6*10^6+$J253+NPV(dr_lo_ship6,$K253:T253)</f>
        <v>0</v>
      </c>
      <c r="U429" s="56">
        <f>-capex_ship6*10^6+$J253+NPV(dr_lo_ship6,$K253:U253)</f>
        <v>0</v>
      </c>
      <c r="V429" s="56">
        <f>-capex_ship6*10^6+$J253+NPV(dr_lo_ship6,$K253:V253)</f>
        <v>0</v>
      </c>
      <c r="W429" s="56">
        <f>-capex_ship6*10^6+$J253+NPV(dr_lo_ship6,$K253:W253)</f>
        <v>0</v>
      </c>
      <c r="X429" s="56">
        <f>-capex_ship6*10^6+$J253+NPV(dr_lo_ship6,$K253:X253)</f>
        <v>0</v>
      </c>
      <c r="Y429" s="56">
        <f>-capex_ship6*10^6+$J253+NPV(dr_lo_ship6,$K253:Y253)</f>
        <v>0</v>
      </c>
      <c r="Z429" s="56">
        <f>-capex_ship6*10^6+$J253+NPV(dr_lo_ship6,$K253:Z253)</f>
        <v>0</v>
      </c>
    </row>
    <row r="430" spans="1:26" x14ac:dyDescent="0.2">
      <c r="A430" s="248"/>
      <c r="B430" s="248"/>
      <c r="C430" s="30" t="s">
        <v>18</v>
      </c>
      <c r="D430" s="60" t="e">
        <f>NA()</f>
        <v>#N/A</v>
      </c>
      <c r="E430" s="60" t="e">
        <f>NA()</f>
        <v>#N/A</v>
      </c>
      <c r="F430" s="60" t="e">
        <f>NA()</f>
        <v>#N/A</v>
      </c>
      <c r="G430" s="60" t="e">
        <f>NA()</f>
        <v>#N/A</v>
      </c>
      <c r="H430" s="60" t="e">
        <f>NA()</f>
        <v>#N/A</v>
      </c>
      <c r="I430" s="60" t="e">
        <f>NA()</f>
        <v>#N/A</v>
      </c>
      <c r="J430" s="60">
        <f>-capex_ship6*10^6+$J254</f>
        <v>0</v>
      </c>
      <c r="K430" s="60">
        <f>-capex_ship6*10^6+$J254+NPV(dr_med_ship6,$K254:K254)</f>
        <v>0</v>
      </c>
      <c r="L430" s="60">
        <f>-capex_ship6*10^6+$J254+NPV(dr_med_ship6,$K254:L254)</f>
        <v>0</v>
      </c>
      <c r="M430" s="60">
        <f>-capex_ship6*10^6+$J254+NPV(dr_med_ship6,$K254:M254)</f>
        <v>0</v>
      </c>
      <c r="N430" s="60">
        <f>-capex_ship6*10^6+$J254+NPV(dr_med_ship6,$K254:N254)</f>
        <v>0</v>
      </c>
      <c r="O430" s="60">
        <f>-capex_ship6*10^6+$J254+NPV(dr_med_ship6,$K254:O254)</f>
        <v>0</v>
      </c>
      <c r="P430" s="60">
        <f>-capex_ship6*10^6+$J254+NPV(dr_med_ship6,$K254:P254)</f>
        <v>0</v>
      </c>
      <c r="Q430" s="60">
        <f>-capex_ship6*10^6+$J254+NPV(dr_med_ship6,$K254:Q254)</f>
        <v>0</v>
      </c>
      <c r="R430" s="60">
        <f>-capex_ship6*10^6+$J254+NPV(dr_med_ship6,$K254:R254)</f>
        <v>0</v>
      </c>
      <c r="S430" s="60">
        <f>-capex_ship6*10^6+$J254+NPV(dr_med_ship6,$K254:S254)</f>
        <v>0</v>
      </c>
      <c r="T430" s="60">
        <f>-capex_ship6*10^6+$J254+NPV(dr_med_ship6,$K254:T254)</f>
        <v>0</v>
      </c>
      <c r="U430" s="60">
        <f>-capex_ship6*10^6+$J254+NPV(dr_med_ship6,$K254:U254)</f>
        <v>0</v>
      </c>
      <c r="V430" s="60">
        <f>-capex_ship6*10^6+$J254+NPV(dr_med_ship6,$K254:V254)</f>
        <v>0</v>
      </c>
      <c r="W430" s="60">
        <f>-capex_ship6*10^6+$J254+NPV(dr_med_ship6,$K254:W254)</f>
        <v>0</v>
      </c>
      <c r="X430" s="60">
        <f>-capex_ship6*10^6+$J254+NPV(dr_med_ship6,$K254:X254)</f>
        <v>0</v>
      </c>
      <c r="Y430" s="60">
        <f>-capex_ship6*10^6+$J254+NPV(dr_med_ship6,$K254:Y254)</f>
        <v>0</v>
      </c>
      <c r="Z430" s="60">
        <f>-capex_ship6*10^6+$J254+NPV(dr_med_ship6,$K254:Z254)</f>
        <v>0</v>
      </c>
    </row>
    <row r="431" spans="1:26" x14ac:dyDescent="0.2">
      <c r="A431" s="248"/>
      <c r="B431" s="248"/>
      <c r="C431" s="30" t="s">
        <v>19</v>
      </c>
      <c r="D431" s="63" t="e">
        <f>NA()</f>
        <v>#N/A</v>
      </c>
      <c r="E431" s="63" t="e">
        <f>NA()</f>
        <v>#N/A</v>
      </c>
      <c r="F431" s="63" t="e">
        <f>NA()</f>
        <v>#N/A</v>
      </c>
      <c r="G431" s="63" t="e">
        <f>NA()</f>
        <v>#N/A</v>
      </c>
      <c r="H431" s="63" t="e">
        <f>NA()</f>
        <v>#N/A</v>
      </c>
      <c r="I431" s="63" t="e">
        <f>NA()</f>
        <v>#N/A</v>
      </c>
      <c r="J431" s="63">
        <f>-capex_ship6*10^6+$J255</f>
        <v>0</v>
      </c>
      <c r="K431" s="63">
        <f>-capex_ship6*10^6+$J255+NPV(dr_hi_ship6,$K255:K255)</f>
        <v>0</v>
      </c>
      <c r="L431" s="63">
        <f>-capex_ship6*10^6+$J255+NPV(dr_hi_ship6,$K255:L255)</f>
        <v>0</v>
      </c>
      <c r="M431" s="63">
        <f>-capex_ship6*10^6+$J255+NPV(dr_hi_ship6,$K255:M255)</f>
        <v>0</v>
      </c>
      <c r="N431" s="63">
        <f>-capex_ship6*10^6+$J255+NPV(dr_hi_ship6,$K255:N255)</f>
        <v>0</v>
      </c>
      <c r="O431" s="63">
        <f>-capex_ship6*10^6+$J255+NPV(dr_hi_ship6,$K255:O255)</f>
        <v>0</v>
      </c>
      <c r="P431" s="63">
        <f>-capex_ship6*10^6+$J255+NPV(dr_hi_ship6,$K255:P255)</f>
        <v>0</v>
      </c>
      <c r="Q431" s="63">
        <f>-capex_ship6*10^6+$J255+NPV(dr_hi_ship6,$K255:Q255)</f>
        <v>0</v>
      </c>
      <c r="R431" s="63">
        <f>-capex_ship6*10^6+$J255+NPV(dr_hi_ship6,$K255:R255)</f>
        <v>0</v>
      </c>
      <c r="S431" s="63">
        <f>-capex_ship6*10^6+$J255+NPV(dr_hi_ship6,$K255:S255)</f>
        <v>0</v>
      </c>
      <c r="T431" s="63">
        <f>-capex_ship6*10^6+$J255+NPV(dr_hi_ship6,$K255:T255)</f>
        <v>0</v>
      </c>
      <c r="U431" s="63">
        <f>-capex_ship6*10^6+$J255+NPV(dr_hi_ship6,$K255:U255)</f>
        <v>0</v>
      </c>
      <c r="V431" s="63">
        <f>-capex_ship6*10^6+$J255+NPV(dr_hi_ship6,$K255:V255)</f>
        <v>0</v>
      </c>
      <c r="W431" s="63">
        <f>-capex_ship6*10^6+$J255+NPV(dr_hi_ship6,$K255:W255)</f>
        <v>0</v>
      </c>
      <c r="X431" s="63">
        <f>-capex_ship6*10^6+$J255+NPV(dr_hi_ship6,$K255:X255)</f>
        <v>0</v>
      </c>
      <c r="Y431" s="63">
        <f>-capex_ship6*10^6+$J255+NPV(dr_hi_ship6,$K255:Y255)</f>
        <v>0</v>
      </c>
      <c r="Z431" s="63">
        <f>-capex_ship6*10^6+$J255+NPV(dr_hi_ship6,$K255:Z255)</f>
        <v>0</v>
      </c>
    </row>
    <row r="432" spans="1:26" ht="12.75" customHeight="1" x14ac:dyDescent="0.2">
      <c r="A432" s="248" t="s">
        <v>129</v>
      </c>
      <c r="B432" s="248">
        <f>ship_plot</f>
        <v>0</v>
      </c>
      <c r="C432" s="30" t="s">
        <v>17</v>
      </c>
      <c r="D432" s="56" t="e">
        <f t="shared" ref="D432:Z432" si="293">IF(ship_plot=ship1,D414,IF(ship_plot=ship2,D417,IF(ship_plot=ship3,D420,IF(ship_plot=ship4,D423,IF(ship_plot=ship5,D426,IF(ship_plot=ship6,D429,"error"))))))</f>
        <v>#N/A</v>
      </c>
      <c r="E432" s="56" t="e">
        <f t="shared" si="293"/>
        <v>#N/A</v>
      </c>
      <c r="F432" s="56" t="e">
        <f t="shared" si="293"/>
        <v>#N/A</v>
      </c>
      <c r="G432" s="56" t="e">
        <f t="shared" si="293"/>
        <v>#N/A</v>
      </c>
      <c r="H432" s="56" t="e">
        <f t="shared" si="293"/>
        <v>#N/A</v>
      </c>
      <c r="I432" s="56" t="e">
        <f t="shared" si="293"/>
        <v>#N/A</v>
      </c>
      <c r="J432" s="56">
        <f t="shared" si="293"/>
        <v>0</v>
      </c>
      <c r="K432" s="56">
        <f t="shared" si="293"/>
        <v>0</v>
      </c>
      <c r="L432" s="56">
        <f t="shared" si="293"/>
        <v>0</v>
      </c>
      <c r="M432" s="56">
        <f t="shared" si="293"/>
        <v>0</v>
      </c>
      <c r="N432" s="56">
        <f t="shared" si="293"/>
        <v>0</v>
      </c>
      <c r="O432" s="56">
        <f t="shared" si="293"/>
        <v>0</v>
      </c>
      <c r="P432" s="56">
        <f t="shared" si="293"/>
        <v>0</v>
      </c>
      <c r="Q432" s="56">
        <f t="shared" si="293"/>
        <v>0</v>
      </c>
      <c r="R432" s="56">
        <f t="shared" si="293"/>
        <v>0</v>
      </c>
      <c r="S432" s="56">
        <f t="shared" si="293"/>
        <v>0</v>
      </c>
      <c r="T432" s="56">
        <f t="shared" si="293"/>
        <v>0</v>
      </c>
      <c r="U432" s="56">
        <f t="shared" si="293"/>
        <v>0</v>
      </c>
      <c r="V432" s="56">
        <f t="shared" si="293"/>
        <v>0</v>
      </c>
      <c r="W432" s="56">
        <f t="shared" si="293"/>
        <v>0</v>
      </c>
      <c r="X432" s="56">
        <f t="shared" si="293"/>
        <v>0</v>
      </c>
      <c r="Y432" s="56">
        <f t="shared" si="293"/>
        <v>0</v>
      </c>
      <c r="Z432" s="56">
        <f t="shared" si="293"/>
        <v>0</v>
      </c>
    </row>
    <row r="433" spans="1:32" x14ac:dyDescent="0.2">
      <c r="A433" s="248"/>
      <c r="B433" s="248"/>
      <c r="C433" s="30" t="s">
        <v>18</v>
      </c>
      <c r="D433" s="60" t="e">
        <f t="shared" ref="D433:Z433" si="294">IF(ship_plot=ship1,D415,IF(ship_plot=ship2,D418,IF(ship_plot=ship3,D421,IF(ship_plot=ship4,D424,IF(ship_plot=ship5,D427,IF(ship_plot=ship6,D430,"error"))))))</f>
        <v>#N/A</v>
      </c>
      <c r="E433" s="60" t="e">
        <f t="shared" si="294"/>
        <v>#N/A</v>
      </c>
      <c r="F433" s="60" t="e">
        <f t="shared" si="294"/>
        <v>#N/A</v>
      </c>
      <c r="G433" s="60" t="e">
        <f t="shared" si="294"/>
        <v>#N/A</v>
      </c>
      <c r="H433" s="60" t="e">
        <f t="shared" si="294"/>
        <v>#N/A</v>
      </c>
      <c r="I433" s="60" t="e">
        <f t="shared" si="294"/>
        <v>#N/A</v>
      </c>
      <c r="J433" s="60">
        <f t="shared" si="294"/>
        <v>0</v>
      </c>
      <c r="K433" s="60">
        <f t="shared" si="294"/>
        <v>0</v>
      </c>
      <c r="L433" s="60">
        <f t="shared" si="294"/>
        <v>0</v>
      </c>
      <c r="M433" s="60">
        <f t="shared" si="294"/>
        <v>0</v>
      </c>
      <c r="N433" s="60">
        <f t="shared" si="294"/>
        <v>0</v>
      </c>
      <c r="O433" s="60">
        <f t="shared" si="294"/>
        <v>0</v>
      </c>
      <c r="P433" s="60">
        <f t="shared" si="294"/>
        <v>0</v>
      </c>
      <c r="Q433" s="60">
        <f t="shared" si="294"/>
        <v>0</v>
      </c>
      <c r="R433" s="60">
        <f t="shared" si="294"/>
        <v>0</v>
      </c>
      <c r="S433" s="60">
        <f t="shared" si="294"/>
        <v>0</v>
      </c>
      <c r="T433" s="60">
        <f t="shared" si="294"/>
        <v>0</v>
      </c>
      <c r="U433" s="60">
        <f t="shared" si="294"/>
        <v>0</v>
      </c>
      <c r="V433" s="60">
        <f t="shared" si="294"/>
        <v>0</v>
      </c>
      <c r="W433" s="60">
        <f t="shared" si="294"/>
        <v>0</v>
      </c>
      <c r="X433" s="60">
        <f t="shared" si="294"/>
        <v>0</v>
      </c>
      <c r="Y433" s="60">
        <f t="shared" si="294"/>
        <v>0</v>
      </c>
      <c r="Z433" s="60">
        <f t="shared" si="294"/>
        <v>0</v>
      </c>
    </row>
    <row r="434" spans="1:32" x14ac:dyDescent="0.2">
      <c r="A434" s="248"/>
      <c r="B434" s="248"/>
      <c r="C434" s="30" t="s">
        <v>19</v>
      </c>
      <c r="D434" s="63" t="e">
        <f t="shared" ref="D434:Z434" si="295">IF(ship_plot=ship1,D416,IF(ship_plot=ship2,D419,IF(ship_plot=ship3,D422,IF(ship_plot=ship4,D425,IF(ship_plot=ship5,D428,IF(ship_plot=ship6,D431,"error"))))))</f>
        <v>#N/A</v>
      </c>
      <c r="E434" s="63" t="e">
        <f t="shared" si="295"/>
        <v>#N/A</v>
      </c>
      <c r="F434" s="63" t="e">
        <f t="shared" si="295"/>
        <v>#N/A</v>
      </c>
      <c r="G434" s="63" t="e">
        <f t="shared" si="295"/>
        <v>#N/A</v>
      </c>
      <c r="H434" s="63" t="e">
        <f t="shared" si="295"/>
        <v>#N/A</v>
      </c>
      <c r="I434" s="63" t="e">
        <f t="shared" si="295"/>
        <v>#N/A</v>
      </c>
      <c r="J434" s="63">
        <f t="shared" si="295"/>
        <v>0</v>
      </c>
      <c r="K434" s="63">
        <f t="shared" si="295"/>
        <v>0</v>
      </c>
      <c r="L434" s="63">
        <f t="shared" si="295"/>
        <v>0</v>
      </c>
      <c r="M434" s="63">
        <f t="shared" si="295"/>
        <v>0</v>
      </c>
      <c r="N434" s="63">
        <f t="shared" si="295"/>
        <v>0</v>
      </c>
      <c r="O434" s="63">
        <f t="shared" si="295"/>
        <v>0</v>
      </c>
      <c r="P434" s="63">
        <f t="shared" si="295"/>
        <v>0</v>
      </c>
      <c r="Q434" s="63">
        <f t="shared" si="295"/>
        <v>0</v>
      </c>
      <c r="R434" s="63">
        <f t="shared" si="295"/>
        <v>0</v>
      </c>
      <c r="S434" s="63">
        <f t="shared" si="295"/>
        <v>0</v>
      </c>
      <c r="T434" s="63">
        <f t="shared" si="295"/>
        <v>0</v>
      </c>
      <c r="U434" s="63">
        <f t="shared" si="295"/>
        <v>0</v>
      </c>
      <c r="V434" s="63">
        <f t="shared" si="295"/>
        <v>0</v>
      </c>
      <c r="W434" s="63">
        <f t="shared" si="295"/>
        <v>0</v>
      </c>
      <c r="X434" s="63">
        <f t="shared" si="295"/>
        <v>0</v>
      </c>
      <c r="Y434" s="63">
        <f t="shared" si="295"/>
        <v>0</v>
      </c>
      <c r="Z434" s="63">
        <f t="shared" si="295"/>
        <v>0</v>
      </c>
    </row>
    <row r="435" spans="1:32" ht="12.75" customHeight="1" x14ac:dyDescent="0.2">
      <c r="A435" s="76" t="s">
        <v>130</v>
      </c>
      <c r="B435" s="76">
        <f>ship_plot</f>
        <v>0</v>
      </c>
      <c r="C435" s="77">
        <f>scenario_display</f>
        <v>0</v>
      </c>
      <c r="D435" s="78" t="e">
        <f t="shared" ref="D435:Z435" si="296">IF(scenario_display="Low",D432,IF(scenario_display="Medium",D433,D434))</f>
        <v>#N/A</v>
      </c>
      <c r="E435" s="78" t="e">
        <f t="shared" si="296"/>
        <v>#N/A</v>
      </c>
      <c r="F435" s="78" t="e">
        <f t="shared" si="296"/>
        <v>#N/A</v>
      </c>
      <c r="G435" s="78" t="e">
        <f t="shared" si="296"/>
        <v>#N/A</v>
      </c>
      <c r="H435" s="78" t="e">
        <f t="shared" si="296"/>
        <v>#N/A</v>
      </c>
      <c r="I435" s="78" t="e">
        <f t="shared" si="296"/>
        <v>#N/A</v>
      </c>
      <c r="J435" s="78">
        <f t="shared" si="296"/>
        <v>0</v>
      </c>
      <c r="K435" s="78">
        <f t="shared" si="296"/>
        <v>0</v>
      </c>
      <c r="L435" s="78">
        <f t="shared" si="296"/>
        <v>0</v>
      </c>
      <c r="M435" s="78">
        <f t="shared" si="296"/>
        <v>0</v>
      </c>
      <c r="N435" s="78">
        <f t="shared" si="296"/>
        <v>0</v>
      </c>
      <c r="O435" s="78">
        <f t="shared" si="296"/>
        <v>0</v>
      </c>
      <c r="P435" s="78">
        <f t="shared" si="296"/>
        <v>0</v>
      </c>
      <c r="Q435" s="78">
        <f t="shared" si="296"/>
        <v>0</v>
      </c>
      <c r="R435" s="78">
        <f t="shared" si="296"/>
        <v>0</v>
      </c>
      <c r="S435" s="78">
        <f t="shared" si="296"/>
        <v>0</v>
      </c>
      <c r="T435" s="78">
        <f t="shared" si="296"/>
        <v>0</v>
      </c>
      <c r="U435" s="78">
        <f t="shared" si="296"/>
        <v>0</v>
      </c>
      <c r="V435" s="78">
        <f t="shared" si="296"/>
        <v>0</v>
      </c>
      <c r="W435" s="78">
        <f t="shared" si="296"/>
        <v>0</v>
      </c>
      <c r="X435" s="78">
        <f t="shared" si="296"/>
        <v>0</v>
      </c>
      <c r="Y435" s="78">
        <f t="shared" si="296"/>
        <v>0</v>
      </c>
      <c r="Z435" s="78">
        <f t="shared" si="296"/>
        <v>0</v>
      </c>
    </row>
    <row r="436" spans="1:32" x14ac:dyDescent="0.2">
      <c r="A436" s="248" t="s">
        <v>131</v>
      </c>
      <c r="B436" s="248">
        <f>ship1</f>
        <v>0</v>
      </c>
      <c r="C436" s="30" t="s">
        <v>17</v>
      </c>
      <c r="D436" s="56" t="e">
        <f>NA()</f>
        <v>#N/A</v>
      </c>
      <c r="E436" s="56" t="e">
        <f>NA()</f>
        <v>#N/A</v>
      </c>
      <c r="F436" s="56" t="e">
        <f>NA()</f>
        <v>#N/A</v>
      </c>
      <c r="G436" s="56" t="e">
        <f>NA()</f>
        <v>#N/A</v>
      </c>
      <c r="H436" s="56" t="e">
        <f>NA()</f>
        <v>#N/A</v>
      </c>
      <c r="I436" s="56" t="e">
        <f>NA()</f>
        <v>#N/A</v>
      </c>
      <c r="J436" s="56" t="e">
        <f>NA()</f>
        <v>#N/A</v>
      </c>
      <c r="K436" s="56">
        <f>-capex_ship1*10^6+$K238</f>
        <v>0</v>
      </c>
      <c r="L436" s="56">
        <f>-capex_ship1*10^6+$K238+NPV(dr_lo_ship1,$L238:L238)</f>
        <v>0</v>
      </c>
      <c r="M436" s="56">
        <f>-capex_ship1*10^6+$K238+NPV(dr_lo_ship1,$L238:M238)</f>
        <v>0</v>
      </c>
      <c r="N436" s="56">
        <f>-capex_ship1*10^6+$K238+NPV(dr_lo_ship1,$L238:N238)</f>
        <v>0</v>
      </c>
      <c r="O436" s="56">
        <f>-capex_ship1*10^6+$K238+NPV(dr_lo_ship1,$L238:O238)</f>
        <v>0</v>
      </c>
      <c r="P436" s="56">
        <f>-capex_ship1*10^6+$K238+NPV(dr_lo_ship1,$L238:P238)</f>
        <v>0</v>
      </c>
      <c r="Q436" s="56">
        <f>-capex_ship1*10^6+$K238+NPV(dr_lo_ship1,$L238:Q238)</f>
        <v>0</v>
      </c>
      <c r="R436" s="56">
        <f>-capex_ship1*10^6+$K238+NPV(dr_lo_ship1,$L238:R238)</f>
        <v>0</v>
      </c>
      <c r="S436" s="56">
        <f>-capex_ship1*10^6+$K238+NPV(dr_lo_ship1,$L238:S238)</f>
        <v>0</v>
      </c>
      <c r="T436" s="56">
        <f>-capex_ship1*10^6+$K238+NPV(dr_lo_ship1,$L238:T238)</f>
        <v>0</v>
      </c>
      <c r="U436" s="56">
        <f>-capex_ship1*10^6+$K238+NPV(dr_lo_ship1,$L238:U238)</f>
        <v>0</v>
      </c>
      <c r="V436" s="56">
        <f>-capex_ship1*10^6+$K238+NPV(dr_lo_ship1,$L238:V238)</f>
        <v>0</v>
      </c>
      <c r="W436" s="56">
        <f>-capex_ship1*10^6+$K238+NPV(dr_lo_ship1,$L238:W238)</f>
        <v>0</v>
      </c>
      <c r="X436" s="56">
        <f>-capex_ship1*10^6+$K238+NPV(dr_lo_ship1,$L238:X238)</f>
        <v>0</v>
      </c>
      <c r="Y436" s="56">
        <f>-capex_ship1*10^6+$K238+NPV(dr_lo_ship1,$L238:Y238)</f>
        <v>0</v>
      </c>
      <c r="Z436" s="56">
        <f>-capex_ship1*10^6+$K238+NPV(dr_lo_ship1,$L238:Z238)</f>
        <v>0</v>
      </c>
    </row>
    <row r="437" spans="1:32" x14ac:dyDescent="0.2">
      <c r="A437" s="248"/>
      <c r="B437" s="248"/>
      <c r="C437" s="30" t="s">
        <v>18</v>
      </c>
      <c r="D437" s="60" t="e">
        <f>NA()</f>
        <v>#N/A</v>
      </c>
      <c r="E437" s="60" t="e">
        <f>NA()</f>
        <v>#N/A</v>
      </c>
      <c r="F437" s="60" t="e">
        <f>NA()</f>
        <v>#N/A</v>
      </c>
      <c r="G437" s="60" t="e">
        <f>NA()</f>
        <v>#N/A</v>
      </c>
      <c r="H437" s="60" t="e">
        <f>NA()</f>
        <v>#N/A</v>
      </c>
      <c r="I437" s="60" t="e">
        <f>NA()</f>
        <v>#N/A</v>
      </c>
      <c r="J437" s="60" t="e">
        <f>NA()</f>
        <v>#N/A</v>
      </c>
      <c r="K437" s="60">
        <f>-capex_ship1*10^6+$K239</f>
        <v>0</v>
      </c>
      <c r="L437" s="60">
        <f>-capex_ship1*10^6+$K239+NPV(dr_med_ship1,$L239:L239)</f>
        <v>0</v>
      </c>
      <c r="M437" s="60">
        <f>-capex_ship1*10^6+$K239+NPV(dr_med_ship1,$L239:M239)</f>
        <v>0</v>
      </c>
      <c r="N437" s="60">
        <f>-capex_ship1*10^6+$K239+NPV(dr_med_ship1,$L239:N239)</f>
        <v>0</v>
      </c>
      <c r="O437" s="60">
        <f>-capex_ship1*10^6+$K239+NPV(dr_med_ship1,$L239:O239)</f>
        <v>0</v>
      </c>
      <c r="P437" s="60">
        <f>-capex_ship1*10^6+$K239+NPV(dr_med_ship1,$L239:P239)</f>
        <v>0</v>
      </c>
      <c r="Q437" s="60">
        <f>-capex_ship1*10^6+$K239+NPV(dr_med_ship1,$L239:Q239)</f>
        <v>0</v>
      </c>
      <c r="R437" s="60">
        <f>-capex_ship1*10^6+$K239+NPV(dr_med_ship1,$L239:R239)</f>
        <v>0</v>
      </c>
      <c r="S437" s="60">
        <f>-capex_ship1*10^6+$K239+NPV(dr_med_ship1,$L239:S239)</f>
        <v>0</v>
      </c>
      <c r="T437" s="60">
        <f>-capex_ship1*10^6+$K239+NPV(dr_med_ship1,$L239:T239)</f>
        <v>0</v>
      </c>
      <c r="U437" s="60">
        <f>-capex_ship1*10^6+$K239+NPV(dr_med_ship1,$L239:U239)</f>
        <v>0</v>
      </c>
      <c r="V437" s="60">
        <f>-capex_ship1*10^6+$K239+NPV(dr_med_ship1,$L239:V239)</f>
        <v>0</v>
      </c>
      <c r="W437" s="60">
        <f>-capex_ship1*10^6+$K239+NPV(dr_med_ship1,$L239:W239)</f>
        <v>0</v>
      </c>
      <c r="X437" s="60">
        <f>-capex_ship1*10^6+$K239+NPV(dr_med_ship1,$L239:X239)</f>
        <v>0</v>
      </c>
      <c r="Y437" s="60">
        <f>-capex_ship1*10^6+$K239+NPV(dr_med_ship1,$L239:Y239)</f>
        <v>0</v>
      </c>
      <c r="Z437" s="60">
        <f>-capex_ship1*10^6+$K239+NPV(dr_med_ship1,$L239:Z239)</f>
        <v>0</v>
      </c>
    </row>
    <row r="438" spans="1:32" x14ac:dyDescent="0.2">
      <c r="A438" s="248"/>
      <c r="B438" s="248"/>
      <c r="C438" s="30" t="s">
        <v>19</v>
      </c>
      <c r="D438" s="63" t="e">
        <f>NA()</f>
        <v>#N/A</v>
      </c>
      <c r="E438" s="63" t="e">
        <f>NA()</f>
        <v>#N/A</v>
      </c>
      <c r="F438" s="63" t="e">
        <f>NA()</f>
        <v>#N/A</v>
      </c>
      <c r="G438" s="63" t="e">
        <f>NA()</f>
        <v>#N/A</v>
      </c>
      <c r="H438" s="63" t="e">
        <f>NA()</f>
        <v>#N/A</v>
      </c>
      <c r="I438" s="63" t="e">
        <f>NA()</f>
        <v>#N/A</v>
      </c>
      <c r="J438" s="63" t="e">
        <f>NA()</f>
        <v>#N/A</v>
      </c>
      <c r="K438" s="63">
        <f>-capex_ship1*10^6+$K240</f>
        <v>0</v>
      </c>
      <c r="L438" s="63">
        <f>-capex_ship1*10^6+$K240+NPV(dr_hi_ship1,$L240:L240)</f>
        <v>0</v>
      </c>
      <c r="M438" s="63">
        <f>-capex_ship1*10^6+$K240+NPV(dr_hi_ship1,$L240:M240)</f>
        <v>0</v>
      </c>
      <c r="N438" s="63">
        <f>-capex_ship1*10^6+$K240+NPV(dr_hi_ship1,$L240:N240)</f>
        <v>0</v>
      </c>
      <c r="O438" s="63">
        <f>-capex_ship1*10^6+$K240+NPV(dr_hi_ship1,$L240:O240)</f>
        <v>0</v>
      </c>
      <c r="P438" s="63">
        <f>-capex_ship1*10^6+$K240+NPV(dr_hi_ship1,$L240:P240)</f>
        <v>0</v>
      </c>
      <c r="Q438" s="63">
        <f>-capex_ship1*10^6+$K240+NPV(dr_hi_ship1,$L240:Q240)</f>
        <v>0</v>
      </c>
      <c r="R438" s="63">
        <f>-capex_ship1*10^6+$K240+NPV(dr_hi_ship1,$L240:R240)</f>
        <v>0</v>
      </c>
      <c r="S438" s="63">
        <f>-capex_ship1*10^6+$K240+NPV(dr_hi_ship1,$L240:S240)</f>
        <v>0</v>
      </c>
      <c r="T438" s="63">
        <f>-capex_ship1*10^6+$K240+NPV(dr_hi_ship1,$L240:T240)</f>
        <v>0</v>
      </c>
      <c r="U438" s="63">
        <f>-capex_ship1*10^6+$K240+NPV(dr_hi_ship1,$L240:U240)</f>
        <v>0</v>
      </c>
      <c r="V438" s="63">
        <f>-capex_ship1*10^6+$K240+NPV(dr_hi_ship1,$L240:V240)</f>
        <v>0</v>
      </c>
      <c r="W438" s="63">
        <f>-capex_ship1*10^6+$K240+NPV(dr_hi_ship1,$L240:W240)</f>
        <v>0</v>
      </c>
      <c r="X438" s="63">
        <f>-capex_ship1*10^6+$K240+NPV(dr_hi_ship1,$L240:X240)</f>
        <v>0</v>
      </c>
      <c r="Y438" s="63">
        <f>-capex_ship1*10^6+$K240+NPV(dr_hi_ship1,$L240:Y240)</f>
        <v>0</v>
      </c>
      <c r="Z438" s="63">
        <f>-capex_ship1*10^6+$K240+NPV(dr_hi_ship1,$L240:Z240)</f>
        <v>0</v>
      </c>
      <c r="AF438" s="108"/>
    </row>
    <row r="439" spans="1:32" x14ac:dyDescent="0.2">
      <c r="A439" s="248"/>
      <c r="B439" s="248">
        <f>ship2</f>
        <v>0</v>
      </c>
      <c r="C439" s="30" t="s">
        <v>17</v>
      </c>
      <c r="D439" s="56" t="e">
        <f>NA()</f>
        <v>#N/A</v>
      </c>
      <c r="E439" s="56" t="e">
        <f>NA()</f>
        <v>#N/A</v>
      </c>
      <c r="F439" s="56" t="e">
        <f>NA()</f>
        <v>#N/A</v>
      </c>
      <c r="G439" s="56" t="e">
        <f>NA()</f>
        <v>#N/A</v>
      </c>
      <c r="H439" s="56" t="e">
        <f>NA()</f>
        <v>#N/A</v>
      </c>
      <c r="I439" s="56" t="e">
        <f>NA()</f>
        <v>#N/A</v>
      </c>
      <c r="J439" s="56" t="e">
        <f>NA()</f>
        <v>#N/A</v>
      </c>
      <c r="K439" s="56">
        <f>-capex_ship2*10^6+$K241</f>
        <v>0</v>
      </c>
      <c r="L439" s="56">
        <f>-capex_ship2*10^6+$K241+NPV(dr_lo_ship2,$L241:L241)</f>
        <v>0</v>
      </c>
      <c r="M439" s="56">
        <f>-capex_ship2*10^6+$K241+NPV(dr_lo_ship2,$L241:M241)</f>
        <v>0</v>
      </c>
      <c r="N439" s="56">
        <f>-capex_ship2*10^6+$K241+NPV(dr_lo_ship2,$L241:N241)</f>
        <v>0</v>
      </c>
      <c r="O439" s="56">
        <f>-capex_ship2*10^6+$K241+NPV(dr_lo_ship2,$L241:O241)</f>
        <v>0</v>
      </c>
      <c r="P439" s="56">
        <f>-capex_ship2*10^6+$K241+NPV(dr_lo_ship2,$L241:P241)</f>
        <v>0</v>
      </c>
      <c r="Q439" s="56">
        <f>-capex_ship2*10^6+$K241+NPV(dr_lo_ship2,$L241:Q241)</f>
        <v>0</v>
      </c>
      <c r="R439" s="56">
        <f>-capex_ship2*10^6+$K241+NPV(dr_lo_ship2,$L241:R241)</f>
        <v>0</v>
      </c>
      <c r="S439" s="56">
        <f>-capex_ship2*10^6+$K241+NPV(dr_lo_ship2,$L241:S241)</f>
        <v>0</v>
      </c>
      <c r="T439" s="56">
        <f>-capex_ship2*10^6+$K241+NPV(dr_lo_ship2,$L241:T241)</f>
        <v>0</v>
      </c>
      <c r="U439" s="56">
        <f>-capex_ship2*10^6+$K241+NPV(dr_lo_ship2,$L241:U241)</f>
        <v>0</v>
      </c>
      <c r="V439" s="56">
        <f>-capex_ship2*10^6+$K241+NPV(dr_lo_ship2,$L241:V241)</f>
        <v>0</v>
      </c>
      <c r="W439" s="56">
        <f>-capex_ship2*10^6+$K241+NPV(dr_lo_ship2,$L241:W241)</f>
        <v>0</v>
      </c>
      <c r="X439" s="56">
        <f>-capex_ship2*10^6+$K241+NPV(dr_lo_ship2,$L241:X241)</f>
        <v>0</v>
      </c>
      <c r="Y439" s="56">
        <f>-capex_ship2*10^6+$K241+NPV(dr_lo_ship2,$L241:Y241)</f>
        <v>0</v>
      </c>
      <c r="Z439" s="56">
        <f>-capex_ship2*10^6+$K241+NPV(dr_lo_ship2,$L241:Z241)</f>
        <v>0</v>
      </c>
    </row>
    <row r="440" spans="1:32" x14ac:dyDescent="0.2">
      <c r="A440" s="248"/>
      <c r="B440" s="248"/>
      <c r="C440" s="30" t="s">
        <v>18</v>
      </c>
      <c r="D440" s="60" t="e">
        <f>NA()</f>
        <v>#N/A</v>
      </c>
      <c r="E440" s="60" t="e">
        <f>NA()</f>
        <v>#N/A</v>
      </c>
      <c r="F440" s="60" t="e">
        <f>NA()</f>
        <v>#N/A</v>
      </c>
      <c r="G440" s="60" t="e">
        <f>NA()</f>
        <v>#N/A</v>
      </c>
      <c r="H440" s="60" t="e">
        <f>NA()</f>
        <v>#N/A</v>
      </c>
      <c r="I440" s="60" t="e">
        <f>NA()</f>
        <v>#N/A</v>
      </c>
      <c r="J440" s="60" t="e">
        <f>NA()</f>
        <v>#N/A</v>
      </c>
      <c r="K440" s="60">
        <f>-capex_ship2*10^6+$K242</f>
        <v>0</v>
      </c>
      <c r="L440" s="60">
        <f>-capex_ship2*10^6+$K242+NPV(dr_med_ship2,$L242:L242)</f>
        <v>0</v>
      </c>
      <c r="M440" s="60">
        <f>-capex_ship2*10^6+$K242+NPV(dr_med_ship2,$L242:M242)</f>
        <v>0</v>
      </c>
      <c r="N440" s="60">
        <f>-capex_ship2*10^6+$K242+NPV(dr_med_ship2,$L242:N242)</f>
        <v>0</v>
      </c>
      <c r="O440" s="60">
        <f>-capex_ship2*10^6+$K242+NPV(dr_med_ship2,$L242:O242)</f>
        <v>0</v>
      </c>
      <c r="P440" s="60">
        <f>-capex_ship2*10^6+$K242+NPV(dr_med_ship2,$L242:P242)</f>
        <v>0</v>
      </c>
      <c r="Q440" s="60">
        <f>-capex_ship2*10^6+$K242+NPV(dr_med_ship2,$L242:Q242)</f>
        <v>0</v>
      </c>
      <c r="R440" s="60">
        <f>-capex_ship2*10^6+$K242+NPV(dr_med_ship2,$L242:R242)</f>
        <v>0</v>
      </c>
      <c r="S440" s="60">
        <f>-capex_ship2*10^6+$K242+NPV(dr_med_ship2,$L242:S242)</f>
        <v>0</v>
      </c>
      <c r="T440" s="60">
        <f>-capex_ship2*10^6+$K242+NPV(dr_med_ship2,$L242:T242)</f>
        <v>0</v>
      </c>
      <c r="U440" s="60">
        <f>-capex_ship2*10^6+$K242+NPV(dr_med_ship2,$L242:U242)</f>
        <v>0</v>
      </c>
      <c r="V440" s="60">
        <f>-capex_ship2*10^6+$K242+NPV(dr_med_ship2,$L242:V242)</f>
        <v>0</v>
      </c>
      <c r="W440" s="60">
        <f>-capex_ship2*10^6+$K242+NPV(dr_med_ship2,$L242:W242)</f>
        <v>0</v>
      </c>
      <c r="X440" s="60">
        <f>-capex_ship2*10^6+$K242+NPV(dr_med_ship2,$L242:X242)</f>
        <v>0</v>
      </c>
      <c r="Y440" s="60">
        <f>-capex_ship2*10^6+$K242+NPV(dr_med_ship2,$L242:Y242)</f>
        <v>0</v>
      </c>
      <c r="Z440" s="60">
        <f>-capex_ship2*10^6+$K242+NPV(dr_med_ship2,$L242:Z242)</f>
        <v>0</v>
      </c>
    </row>
    <row r="441" spans="1:32" x14ac:dyDescent="0.2">
      <c r="A441" s="248"/>
      <c r="B441" s="248"/>
      <c r="C441" s="30" t="s">
        <v>19</v>
      </c>
      <c r="D441" s="63" t="e">
        <f>NA()</f>
        <v>#N/A</v>
      </c>
      <c r="E441" s="63" t="e">
        <f>NA()</f>
        <v>#N/A</v>
      </c>
      <c r="F441" s="63" t="e">
        <f>NA()</f>
        <v>#N/A</v>
      </c>
      <c r="G441" s="63" t="e">
        <f>NA()</f>
        <v>#N/A</v>
      </c>
      <c r="H441" s="63" t="e">
        <f>NA()</f>
        <v>#N/A</v>
      </c>
      <c r="I441" s="63" t="e">
        <f>NA()</f>
        <v>#N/A</v>
      </c>
      <c r="J441" s="63" t="e">
        <f>NA()</f>
        <v>#N/A</v>
      </c>
      <c r="K441" s="63">
        <f>-capex_ship2*10^6+$K243</f>
        <v>0</v>
      </c>
      <c r="L441" s="63">
        <f>-capex_ship2*10^6+$K243+NPV(dr_hi_ship2,$L243:L243)</f>
        <v>0</v>
      </c>
      <c r="M441" s="63">
        <f>-capex_ship2*10^6+$K243+NPV(dr_hi_ship2,$L243:M243)</f>
        <v>0</v>
      </c>
      <c r="N441" s="63">
        <f>-capex_ship2*10^6+$K243+NPV(dr_hi_ship2,$L243:N243)</f>
        <v>0</v>
      </c>
      <c r="O441" s="63">
        <f>-capex_ship2*10^6+$K243+NPV(dr_hi_ship2,$L243:O243)</f>
        <v>0</v>
      </c>
      <c r="P441" s="63">
        <f>-capex_ship2*10^6+$K243+NPV(dr_hi_ship2,$L243:P243)</f>
        <v>0</v>
      </c>
      <c r="Q441" s="63">
        <f>-capex_ship2*10^6+$K243+NPV(dr_hi_ship2,$L243:Q243)</f>
        <v>0</v>
      </c>
      <c r="R441" s="63">
        <f>-capex_ship2*10^6+$K243+NPV(dr_hi_ship2,$L243:R243)</f>
        <v>0</v>
      </c>
      <c r="S441" s="63">
        <f>-capex_ship2*10^6+$K243+NPV(dr_hi_ship2,$L243:S243)</f>
        <v>0</v>
      </c>
      <c r="T441" s="63">
        <f>-capex_ship2*10^6+$K243+NPV(dr_hi_ship2,$L243:T243)</f>
        <v>0</v>
      </c>
      <c r="U441" s="63">
        <f>-capex_ship2*10^6+$K243+NPV(dr_hi_ship2,$L243:U243)</f>
        <v>0</v>
      </c>
      <c r="V441" s="63">
        <f>-capex_ship2*10^6+$K243+NPV(dr_hi_ship2,$L243:V243)</f>
        <v>0</v>
      </c>
      <c r="W441" s="63">
        <f>-capex_ship2*10^6+$K243+NPV(dr_hi_ship2,$L243:W243)</f>
        <v>0</v>
      </c>
      <c r="X441" s="63">
        <f>-capex_ship2*10^6+$K243+NPV(dr_hi_ship2,$L243:X243)</f>
        <v>0</v>
      </c>
      <c r="Y441" s="63">
        <f>-capex_ship2*10^6+$K243+NPV(dr_hi_ship2,$L243:Y243)</f>
        <v>0</v>
      </c>
      <c r="Z441" s="63">
        <f>-capex_ship2*10^6+$K243+NPV(dr_hi_ship2,$L243:Z243)</f>
        <v>0</v>
      </c>
    </row>
    <row r="442" spans="1:32" x14ac:dyDescent="0.2">
      <c r="A442" s="248"/>
      <c r="B442" s="248">
        <f>ship3</f>
        <v>0</v>
      </c>
      <c r="C442" s="30" t="s">
        <v>17</v>
      </c>
      <c r="D442" s="56" t="e">
        <f>NA()</f>
        <v>#N/A</v>
      </c>
      <c r="E442" s="56" t="e">
        <f>NA()</f>
        <v>#N/A</v>
      </c>
      <c r="F442" s="56" t="e">
        <f>NA()</f>
        <v>#N/A</v>
      </c>
      <c r="G442" s="56" t="e">
        <f>NA()</f>
        <v>#N/A</v>
      </c>
      <c r="H442" s="56" t="e">
        <f>NA()</f>
        <v>#N/A</v>
      </c>
      <c r="I442" s="56" t="e">
        <f>NA()</f>
        <v>#N/A</v>
      </c>
      <c r="J442" s="56" t="e">
        <f>NA()</f>
        <v>#N/A</v>
      </c>
      <c r="K442" s="56">
        <f>-capex_ship3*10^6+$K244</f>
        <v>0</v>
      </c>
      <c r="L442" s="56">
        <f>-capex_ship3*10^6+$K244+NPV(dr_lo_ship3,$L244:L244)</f>
        <v>0</v>
      </c>
      <c r="M442" s="56">
        <f>-capex_ship3*10^6+$K244+NPV(dr_lo_ship3,$L244:M244)</f>
        <v>0</v>
      </c>
      <c r="N442" s="56">
        <f>-capex_ship3*10^6+$K244+NPV(dr_lo_ship3,$L244:N244)</f>
        <v>0</v>
      </c>
      <c r="O442" s="56">
        <f>-capex_ship3*10^6+$K244+NPV(dr_lo_ship3,$L244:O244)</f>
        <v>0</v>
      </c>
      <c r="P442" s="56">
        <f>-capex_ship3*10^6+$K244+NPV(dr_lo_ship3,$L244:P244)</f>
        <v>0</v>
      </c>
      <c r="Q442" s="56">
        <f>-capex_ship3*10^6+$K244+NPV(dr_lo_ship3,$L244:Q244)</f>
        <v>0</v>
      </c>
      <c r="R442" s="56">
        <f>-capex_ship3*10^6+$K244+NPV(dr_lo_ship3,$L244:R244)</f>
        <v>0</v>
      </c>
      <c r="S442" s="56">
        <f>-capex_ship3*10^6+$K244+NPV(dr_lo_ship3,$L244:S244)</f>
        <v>0</v>
      </c>
      <c r="T442" s="56">
        <f>-capex_ship3*10^6+$K244+NPV(dr_lo_ship3,$L244:T244)</f>
        <v>0</v>
      </c>
      <c r="U442" s="56">
        <f>-capex_ship3*10^6+$K244+NPV(dr_lo_ship3,$L244:U244)</f>
        <v>0</v>
      </c>
      <c r="V442" s="56">
        <f>-capex_ship3*10^6+$K244+NPV(dr_lo_ship3,$L244:V244)</f>
        <v>0</v>
      </c>
      <c r="W442" s="56">
        <f>-capex_ship3*10^6+$K244+NPV(dr_lo_ship3,$L244:W244)</f>
        <v>0</v>
      </c>
      <c r="X442" s="56">
        <f>-capex_ship3*10^6+$K244+NPV(dr_lo_ship3,$L244:X244)</f>
        <v>0</v>
      </c>
      <c r="Y442" s="56">
        <f>-capex_ship3*10^6+$K244+NPV(dr_lo_ship3,$L244:Y244)</f>
        <v>0</v>
      </c>
      <c r="Z442" s="56">
        <f>-capex_ship3*10^6+$K244+NPV(dr_lo_ship3,$L244:Z244)</f>
        <v>0</v>
      </c>
    </row>
    <row r="443" spans="1:32" x14ac:dyDescent="0.2">
      <c r="A443" s="248"/>
      <c r="B443" s="248"/>
      <c r="C443" s="30" t="s">
        <v>18</v>
      </c>
      <c r="D443" s="60" t="e">
        <f>NA()</f>
        <v>#N/A</v>
      </c>
      <c r="E443" s="60" t="e">
        <f>NA()</f>
        <v>#N/A</v>
      </c>
      <c r="F443" s="60" t="e">
        <f>NA()</f>
        <v>#N/A</v>
      </c>
      <c r="G443" s="60" t="e">
        <f>NA()</f>
        <v>#N/A</v>
      </c>
      <c r="H443" s="60" t="e">
        <f>NA()</f>
        <v>#N/A</v>
      </c>
      <c r="I443" s="60" t="e">
        <f>NA()</f>
        <v>#N/A</v>
      </c>
      <c r="J443" s="60" t="e">
        <f>NA()</f>
        <v>#N/A</v>
      </c>
      <c r="K443" s="60">
        <f>-capex_ship3*10^6+$K245</f>
        <v>0</v>
      </c>
      <c r="L443" s="60">
        <f>-capex_ship3*10^6+$K245+NPV(dr_med_ship3,$L245:L245)</f>
        <v>0</v>
      </c>
      <c r="M443" s="60">
        <f>-capex_ship3*10^6+$K245+NPV(dr_med_ship3,$L245:M245)</f>
        <v>0</v>
      </c>
      <c r="N443" s="60">
        <f>-capex_ship3*10^6+$K245+NPV(dr_med_ship3,$L245:N245)</f>
        <v>0</v>
      </c>
      <c r="O443" s="60">
        <f>-capex_ship3*10^6+$K245+NPV(dr_med_ship3,$L245:O245)</f>
        <v>0</v>
      </c>
      <c r="P443" s="60">
        <f>-capex_ship3*10^6+$K245+NPV(dr_med_ship3,$L245:P245)</f>
        <v>0</v>
      </c>
      <c r="Q443" s="60">
        <f>-capex_ship3*10^6+$K245+NPV(dr_med_ship3,$L245:Q245)</f>
        <v>0</v>
      </c>
      <c r="R443" s="60">
        <f>-capex_ship3*10^6+$K245+NPV(dr_med_ship3,$L245:R245)</f>
        <v>0</v>
      </c>
      <c r="S443" s="60">
        <f>-capex_ship3*10^6+$K245+NPV(dr_med_ship3,$L245:S245)</f>
        <v>0</v>
      </c>
      <c r="T443" s="60">
        <f>-capex_ship3*10^6+$K245+NPV(dr_med_ship3,$L245:T245)</f>
        <v>0</v>
      </c>
      <c r="U443" s="60">
        <f>-capex_ship3*10^6+$K245+NPV(dr_med_ship3,$L245:U245)</f>
        <v>0</v>
      </c>
      <c r="V443" s="60">
        <f>-capex_ship3*10^6+$K245+NPV(dr_med_ship3,$L245:V245)</f>
        <v>0</v>
      </c>
      <c r="W443" s="60">
        <f>-capex_ship3*10^6+$K245+NPV(dr_med_ship3,$L245:W245)</f>
        <v>0</v>
      </c>
      <c r="X443" s="60">
        <f>-capex_ship3*10^6+$K245+NPV(dr_med_ship3,$L245:X245)</f>
        <v>0</v>
      </c>
      <c r="Y443" s="60">
        <f>-capex_ship3*10^6+$K245+NPV(dr_med_ship3,$L245:Y245)</f>
        <v>0</v>
      </c>
      <c r="Z443" s="60">
        <f>-capex_ship3*10^6+$K245+NPV(dr_med_ship3,$L245:Z245)</f>
        <v>0</v>
      </c>
    </row>
    <row r="444" spans="1:32" x14ac:dyDescent="0.2">
      <c r="A444" s="248"/>
      <c r="B444" s="248"/>
      <c r="C444" s="30" t="s">
        <v>19</v>
      </c>
      <c r="D444" s="63" t="e">
        <f>NA()</f>
        <v>#N/A</v>
      </c>
      <c r="E444" s="63" t="e">
        <f>NA()</f>
        <v>#N/A</v>
      </c>
      <c r="F444" s="63" t="e">
        <f>NA()</f>
        <v>#N/A</v>
      </c>
      <c r="G444" s="63" t="e">
        <f>NA()</f>
        <v>#N/A</v>
      </c>
      <c r="H444" s="63" t="e">
        <f>NA()</f>
        <v>#N/A</v>
      </c>
      <c r="I444" s="63" t="e">
        <f>NA()</f>
        <v>#N/A</v>
      </c>
      <c r="J444" s="63" t="e">
        <f>NA()</f>
        <v>#N/A</v>
      </c>
      <c r="K444" s="63">
        <f>-capex_ship3*10^6+$K246</f>
        <v>0</v>
      </c>
      <c r="L444" s="63">
        <f>-capex_ship3*10^6+$K246+NPV(dr_hi_ship3,$L246:L246)</f>
        <v>0</v>
      </c>
      <c r="M444" s="63">
        <f>-capex_ship3*10^6+$K246+NPV(dr_hi_ship3,$L246:M246)</f>
        <v>0</v>
      </c>
      <c r="N444" s="63">
        <f>-capex_ship3*10^6+$K246+NPV(dr_hi_ship3,$L246:N246)</f>
        <v>0</v>
      </c>
      <c r="O444" s="63">
        <f>-capex_ship3*10^6+$K246+NPV(dr_hi_ship3,$L246:O246)</f>
        <v>0</v>
      </c>
      <c r="P444" s="63">
        <f>-capex_ship3*10^6+$K246+NPV(dr_hi_ship3,$L246:P246)</f>
        <v>0</v>
      </c>
      <c r="Q444" s="63">
        <f>-capex_ship3*10^6+$K246+NPV(dr_hi_ship3,$L246:Q246)</f>
        <v>0</v>
      </c>
      <c r="R444" s="63">
        <f>-capex_ship3*10^6+$K246+NPV(dr_hi_ship3,$L246:R246)</f>
        <v>0</v>
      </c>
      <c r="S444" s="63">
        <f>-capex_ship3*10^6+$K246+NPV(dr_hi_ship3,$L246:S246)</f>
        <v>0</v>
      </c>
      <c r="T444" s="63">
        <f>-capex_ship3*10^6+$K246+NPV(dr_hi_ship3,$L246:T246)</f>
        <v>0</v>
      </c>
      <c r="U444" s="63">
        <f>-capex_ship3*10^6+$K246+NPV(dr_hi_ship3,$L246:U246)</f>
        <v>0</v>
      </c>
      <c r="V444" s="63">
        <f>-capex_ship3*10^6+$K246+NPV(dr_hi_ship3,$L246:V246)</f>
        <v>0</v>
      </c>
      <c r="W444" s="63">
        <f>-capex_ship3*10^6+$K246+NPV(dr_hi_ship3,$L246:W246)</f>
        <v>0</v>
      </c>
      <c r="X444" s="63">
        <f>-capex_ship3*10^6+$K246+NPV(dr_hi_ship3,$L246:X246)</f>
        <v>0</v>
      </c>
      <c r="Y444" s="63">
        <f>-capex_ship3*10^6+$K246+NPV(dr_hi_ship3,$L246:Y246)</f>
        <v>0</v>
      </c>
      <c r="Z444" s="63">
        <f>-capex_ship3*10^6+$K246+NPV(dr_hi_ship3,$L246:Z246)</f>
        <v>0</v>
      </c>
    </row>
    <row r="445" spans="1:32" x14ac:dyDescent="0.2">
      <c r="A445" s="248"/>
      <c r="B445" s="248">
        <f>ship4</f>
        <v>0</v>
      </c>
      <c r="C445" s="30" t="s">
        <v>17</v>
      </c>
      <c r="D445" s="56" t="e">
        <f>NA()</f>
        <v>#N/A</v>
      </c>
      <c r="E445" s="56" t="e">
        <f>NA()</f>
        <v>#N/A</v>
      </c>
      <c r="F445" s="56" t="e">
        <f>NA()</f>
        <v>#N/A</v>
      </c>
      <c r="G445" s="56" t="e">
        <f>NA()</f>
        <v>#N/A</v>
      </c>
      <c r="H445" s="56" t="e">
        <f>NA()</f>
        <v>#N/A</v>
      </c>
      <c r="I445" s="56" t="e">
        <f>NA()</f>
        <v>#N/A</v>
      </c>
      <c r="J445" s="56" t="e">
        <f>NA()</f>
        <v>#N/A</v>
      </c>
      <c r="K445" s="56">
        <f>-capex_ship4*10^6+$K247</f>
        <v>0</v>
      </c>
      <c r="L445" s="56">
        <f>-capex_ship4*10^6+$K247+NPV(dr_lo_ship4,$L247:L247)</f>
        <v>0</v>
      </c>
      <c r="M445" s="56">
        <f>-capex_ship4*10^6+$K247+NPV(dr_lo_ship4,$L247:M247)</f>
        <v>0</v>
      </c>
      <c r="N445" s="56">
        <f>-capex_ship4*10^6+$K247+NPV(dr_lo_ship4,$L247:N247)</f>
        <v>0</v>
      </c>
      <c r="O445" s="56">
        <f>-capex_ship4*10^6+$K247+NPV(dr_lo_ship4,$L247:O247)</f>
        <v>0</v>
      </c>
      <c r="P445" s="56">
        <f>-capex_ship4*10^6+$K247+NPV(dr_lo_ship4,$L247:P247)</f>
        <v>0</v>
      </c>
      <c r="Q445" s="56">
        <f>-capex_ship4*10^6+$K247+NPV(dr_lo_ship4,$L247:Q247)</f>
        <v>0</v>
      </c>
      <c r="R445" s="56">
        <f>-capex_ship4*10^6+$K247+NPV(dr_lo_ship4,$L247:R247)</f>
        <v>0</v>
      </c>
      <c r="S445" s="56">
        <f>-capex_ship4*10^6+$K247+NPV(dr_lo_ship4,$L247:S247)</f>
        <v>0</v>
      </c>
      <c r="T445" s="56">
        <f>-capex_ship4*10^6+$K247+NPV(dr_lo_ship4,$L247:T247)</f>
        <v>0</v>
      </c>
      <c r="U445" s="56">
        <f>-capex_ship4*10^6+$K247+NPV(dr_lo_ship4,$L247:U247)</f>
        <v>0</v>
      </c>
      <c r="V445" s="56">
        <f>-capex_ship4*10^6+$K247+NPV(dr_lo_ship4,$L247:V247)</f>
        <v>0</v>
      </c>
      <c r="W445" s="56">
        <f>-capex_ship4*10^6+$K247+NPV(dr_lo_ship4,$L247:W247)</f>
        <v>0</v>
      </c>
      <c r="X445" s="56">
        <f>-capex_ship4*10^6+$K247+NPV(dr_lo_ship4,$L247:X247)</f>
        <v>0</v>
      </c>
      <c r="Y445" s="56">
        <f>-capex_ship4*10^6+$K247+NPV(dr_lo_ship4,$L247:Y247)</f>
        <v>0</v>
      </c>
      <c r="Z445" s="56">
        <f>-capex_ship4*10^6+$K247+NPV(dr_lo_ship4,$L247:Z247)</f>
        <v>0</v>
      </c>
    </row>
    <row r="446" spans="1:32" x14ac:dyDescent="0.2">
      <c r="A446" s="248"/>
      <c r="B446" s="248"/>
      <c r="C446" s="30" t="s">
        <v>18</v>
      </c>
      <c r="D446" s="60" t="e">
        <f>NA()</f>
        <v>#N/A</v>
      </c>
      <c r="E446" s="60" t="e">
        <f>NA()</f>
        <v>#N/A</v>
      </c>
      <c r="F446" s="60" t="e">
        <f>NA()</f>
        <v>#N/A</v>
      </c>
      <c r="G446" s="60" t="e">
        <f>NA()</f>
        <v>#N/A</v>
      </c>
      <c r="H446" s="60" t="e">
        <f>NA()</f>
        <v>#N/A</v>
      </c>
      <c r="I446" s="60" t="e">
        <f>NA()</f>
        <v>#N/A</v>
      </c>
      <c r="J446" s="60" t="e">
        <f>NA()</f>
        <v>#N/A</v>
      </c>
      <c r="K446" s="60">
        <f>-capex_ship4*10^6+$K248</f>
        <v>0</v>
      </c>
      <c r="L446" s="60">
        <f>-capex_ship4*10^6+$K248+NPV(dr_med_ship4,$L248:L248)</f>
        <v>0</v>
      </c>
      <c r="M446" s="60">
        <f>-capex_ship4*10^6+$K248+NPV(dr_med_ship4,$L248:M248)</f>
        <v>0</v>
      </c>
      <c r="N446" s="60">
        <f>-capex_ship4*10^6+$K248+NPV(dr_med_ship4,$L248:N248)</f>
        <v>0</v>
      </c>
      <c r="O446" s="60">
        <f>-capex_ship4*10^6+$K248+NPV(dr_med_ship4,$L248:O248)</f>
        <v>0</v>
      </c>
      <c r="P446" s="60">
        <f>-capex_ship4*10^6+$K248+NPV(dr_med_ship4,$L248:P248)</f>
        <v>0</v>
      </c>
      <c r="Q446" s="60">
        <f>-capex_ship4*10^6+$K248+NPV(dr_med_ship4,$L248:Q248)</f>
        <v>0</v>
      </c>
      <c r="R446" s="60">
        <f>-capex_ship4*10^6+$K248+NPV(dr_med_ship4,$L248:R248)</f>
        <v>0</v>
      </c>
      <c r="S446" s="60">
        <f>-capex_ship4*10^6+$K248+NPV(dr_med_ship4,$L248:S248)</f>
        <v>0</v>
      </c>
      <c r="T446" s="60">
        <f>-capex_ship4*10^6+$K248+NPV(dr_med_ship4,$L248:T248)</f>
        <v>0</v>
      </c>
      <c r="U446" s="60">
        <f>-capex_ship4*10^6+$K248+NPV(dr_med_ship4,$L248:U248)</f>
        <v>0</v>
      </c>
      <c r="V446" s="60">
        <f>-capex_ship4*10^6+$K248+NPV(dr_med_ship4,$L248:V248)</f>
        <v>0</v>
      </c>
      <c r="W446" s="60">
        <f>-capex_ship4*10^6+$K248+NPV(dr_med_ship4,$L248:W248)</f>
        <v>0</v>
      </c>
      <c r="X446" s="60">
        <f>-capex_ship4*10^6+$K248+NPV(dr_med_ship4,$L248:X248)</f>
        <v>0</v>
      </c>
      <c r="Y446" s="60">
        <f>-capex_ship4*10^6+$K248+NPV(dr_med_ship4,$L248:Y248)</f>
        <v>0</v>
      </c>
      <c r="Z446" s="60">
        <f>-capex_ship4*10^6+$K248+NPV(dr_med_ship4,$L248:Z248)</f>
        <v>0</v>
      </c>
    </row>
    <row r="447" spans="1:32" x14ac:dyDescent="0.2">
      <c r="A447" s="248"/>
      <c r="B447" s="248"/>
      <c r="C447" s="30" t="s">
        <v>19</v>
      </c>
      <c r="D447" s="63" t="e">
        <f>NA()</f>
        <v>#N/A</v>
      </c>
      <c r="E447" s="63" t="e">
        <f>NA()</f>
        <v>#N/A</v>
      </c>
      <c r="F447" s="63" t="e">
        <f>NA()</f>
        <v>#N/A</v>
      </c>
      <c r="G447" s="63" t="e">
        <f>NA()</f>
        <v>#N/A</v>
      </c>
      <c r="H447" s="63" t="e">
        <f>NA()</f>
        <v>#N/A</v>
      </c>
      <c r="I447" s="63" t="e">
        <f>NA()</f>
        <v>#N/A</v>
      </c>
      <c r="J447" s="63" t="e">
        <f>NA()</f>
        <v>#N/A</v>
      </c>
      <c r="K447" s="63">
        <f>-capex_ship4*10^6+$K249</f>
        <v>0</v>
      </c>
      <c r="L447" s="63">
        <f>-capex_ship4*10^6+$K249+NPV(dr_hi_ship4,$L249:L249)</f>
        <v>0</v>
      </c>
      <c r="M447" s="63">
        <f>-capex_ship4*10^6+$K249+NPV(dr_hi_ship4,$L249:M249)</f>
        <v>0</v>
      </c>
      <c r="N447" s="63">
        <f>-capex_ship4*10^6+$K249+NPV(dr_hi_ship4,$L249:N249)</f>
        <v>0</v>
      </c>
      <c r="O447" s="63">
        <f>-capex_ship4*10^6+$K249+NPV(dr_hi_ship4,$L249:O249)</f>
        <v>0</v>
      </c>
      <c r="P447" s="63">
        <f>-capex_ship4*10^6+$K249+NPV(dr_hi_ship4,$L249:P249)</f>
        <v>0</v>
      </c>
      <c r="Q447" s="63">
        <f>-capex_ship4*10^6+$K249+NPV(dr_hi_ship4,$L249:Q249)</f>
        <v>0</v>
      </c>
      <c r="R447" s="63">
        <f>-capex_ship4*10^6+$K249+NPV(dr_hi_ship4,$L249:R249)</f>
        <v>0</v>
      </c>
      <c r="S447" s="63">
        <f>-capex_ship4*10^6+$K249+NPV(dr_hi_ship4,$L249:S249)</f>
        <v>0</v>
      </c>
      <c r="T447" s="63">
        <f>-capex_ship4*10^6+$K249+NPV(dr_hi_ship4,$L249:T249)</f>
        <v>0</v>
      </c>
      <c r="U447" s="63">
        <f>-capex_ship4*10^6+$K249+NPV(dr_hi_ship4,$L249:U249)</f>
        <v>0</v>
      </c>
      <c r="V447" s="63">
        <f>-capex_ship4*10^6+$K249+NPV(dr_hi_ship4,$L249:V249)</f>
        <v>0</v>
      </c>
      <c r="W447" s="63">
        <f>-capex_ship4*10^6+$K249+NPV(dr_hi_ship4,$L249:W249)</f>
        <v>0</v>
      </c>
      <c r="X447" s="63">
        <f>-capex_ship4*10^6+$K249+NPV(dr_hi_ship4,$L249:X249)</f>
        <v>0</v>
      </c>
      <c r="Y447" s="63">
        <f>-capex_ship4*10^6+$K249+NPV(dr_hi_ship4,$L249:Y249)</f>
        <v>0</v>
      </c>
      <c r="Z447" s="63">
        <f>-capex_ship4*10^6+$K249+NPV(dr_hi_ship4,$L249:Z249)</f>
        <v>0</v>
      </c>
    </row>
    <row r="448" spans="1:32" x14ac:dyDescent="0.2">
      <c r="A448" s="248"/>
      <c r="B448" s="248">
        <f>ship5</f>
        <v>0</v>
      </c>
      <c r="C448" s="30" t="s">
        <v>17</v>
      </c>
      <c r="D448" s="56" t="e">
        <f>NA()</f>
        <v>#N/A</v>
      </c>
      <c r="E448" s="56" t="e">
        <f>NA()</f>
        <v>#N/A</v>
      </c>
      <c r="F448" s="56" t="e">
        <f>NA()</f>
        <v>#N/A</v>
      </c>
      <c r="G448" s="56" t="e">
        <f>NA()</f>
        <v>#N/A</v>
      </c>
      <c r="H448" s="56" t="e">
        <f>NA()</f>
        <v>#N/A</v>
      </c>
      <c r="I448" s="56" t="e">
        <f>NA()</f>
        <v>#N/A</v>
      </c>
      <c r="J448" s="56" t="e">
        <f>NA()</f>
        <v>#N/A</v>
      </c>
      <c r="K448" s="56">
        <f>-capex_ship5*10^6+$K250</f>
        <v>0</v>
      </c>
      <c r="L448" s="56">
        <f>-capex_ship5*10^6+$K250+NPV(dr_lo_ship5,$L250:L250)</f>
        <v>0</v>
      </c>
      <c r="M448" s="56">
        <f>-capex_ship5*10^6+$K250+NPV(dr_lo_ship5,$L250:M250)</f>
        <v>0</v>
      </c>
      <c r="N448" s="56">
        <f>-capex_ship5*10^6+$K250+NPV(dr_lo_ship5,$L250:N250)</f>
        <v>0</v>
      </c>
      <c r="O448" s="56">
        <f>-capex_ship5*10^6+$K250+NPV(dr_lo_ship5,$L250:O250)</f>
        <v>0</v>
      </c>
      <c r="P448" s="56">
        <f>-capex_ship5*10^6+$K250+NPV(dr_lo_ship5,$L250:P250)</f>
        <v>0</v>
      </c>
      <c r="Q448" s="56">
        <f>-capex_ship5*10^6+$K250+NPV(dr_lo_ship5,$L250:Q250)</f>
        <v>0</v>
      </c>
      <c r="R448" s="56">
        <f>-capex_ship5*10^6+$K250+NPV(dr_lo_ship5,$L250:R250)</f>
        <v>0</v>
      </c>
      <c r="S448" s="56">
        <f>-capex_ship5*10^6+$K250+NPV(dr_lo_ship5,$L250:S250)</f>
        <v>0</v>
      </c>
      <c r="T448" s="56">
        <f>-capex_ship5*10^6+$K250+NPV(dr_lo_ship5,$L250:T250)</f>
        <v>0</v>
      </c>
      <c r="U448" s="56">
        <f>-capex_ship5*10^6+$K250+NPV(dr_lo_ship5,$L250:U250)</f>
        <v>0</v>
      </c>
      <c r="V448" s="56">
        <f>-capex_ship5*10^6+$K250+NPV(dr_lo_ship5,$L250:V250)</f>
        <v>0</v>
      </c>
      <c r="W448" s="56">
        <f>-capex_ship5*10^6+$K250+NPV(dr_lo_ship5,$L250:W250)</f>
        <v>0</v>
      </c>
      <c r="X448" s="56">
        <f>-capex_ship5*10^6+$K250+NPV(dr_lo_ship5,$L250:X250)</f>
        <v>0</v>
      </c>
      <c r="Y448" s="56">
        <f>-capex_ship5*10^6+$K250+NPV(dr_lo_ship5,$L250:Y250)</f>
        <v>0</v>
      </c>
      <c r="Z448" s="56">
        <f>-capex_ship5*10^6+$K250+NPV(dr_lo_ship5,$L250:Z250)</f>
        <v>0</v>
      </c>
    </row>
    <row r="449" spans="1:32" x14ac:dyDescent="0.2">
      <c r="A449" s="248"/>
      <c r="B449" s="248"/>
      <c r="C449" s="30" t="s">
        <v>18</v>
      </c>
      <c r="D449" s="60" t="e">
        <f>NA()</f>
        <v>#N/A</v>
      </c>
      <c r="E449" s="60" t="e">
        <f>NA()</f>
        <v>#N/A</v>
      </c>
      <c r="F449" s="60" t="e">
        <f>NA()</f>
        <v>#N/A</v>
      </c>
      <c r="G449" s="60" t="e">
        <f>NA()</f>
        <v>#N/A</v>
      </c>
      <c r="H449" s="60" t="e">
        <f>NA()</f>
        <v>#N/A</v>
      </c>
      <c r="I449" s="60" t="e">
        <f>NA()</f>
        <v>#N/A</v>
      </c>
      <c r="J449" s="60" t="e">
        <f>NA()</f>
        <v>#N/A</v>
      </c>
      <c r="K449" s="60">
        <f>-capex_ship5*10^6+$K251</f>
        <v>0</v>
      </c>
      <c r="L449" s="60">
        <f>-capex_ship5*10^6+$K251+NPV(dr_med_ship5,$L251:L251)</f>
        <v>0</v>
      </c>
      <c r="M449" s="60">
        <f>-capex_ship5*10^6+$K251+NPV(dr_med_ship5,$L251:M251)</f>
        <v>0</v>
      </c>
      <c r="N449" s="60">
        <f>-capex_ship5*10^6+$K251+NPV(dr_med_ship5,$L251:N251)</f>
        <v>0</v>
      </c>
      <c r="O449" s="60">
        <f>-capex_ship5*10^6+$K251+NPV(dr_med_ship5,$L251:O251)</f>
        <v>0</v>
      </c>
      <c r="P449" s="60">
        <f>-capex_ship5*10^6+$K251+NPV(dr_med_ship5,$L251:P251)</f>
        <v>0</v>
      </c>
      <c r="Q449" s="60">
        <f>-capex_ship5*10^6+$K251+NPV(dr_med_ship5,$L251:Q251)</f>
        <v>0</v>
      </c>
      <c r="R449" s="60">
        <f>-capex_ship5*10^6+$K251+NPV(dr_med_ship5,$L251:R251)</f>
        <v>0</v>
      </c>
      <c r="S449" s="60">
        <f>-capex_ship5*10^6+$K251+NPV(dr_med_ship5,$L251:S251)</f>
        <v>0</v>
      </c>
      <c r="T449" s="60">
        <f>-capex_ship5*10^6+$K251+NPV(dr_med_ship5,$L251:T251)</f>
        <v>0</v>
      </c>
      <c r="U449" s="60">
        <f>-capex_ship5*10^6+$K251+NPV(dr_med_ship5,$L251:U251)</f>
        <v>0</v>
      </c>
      <c r="V449" s="60">
        <f>-capex_ship5*10^6+$K251+NPV(dr_med_ship5,$L251:V251)</f>
        <v>0</v>
      </c>
      <c r="W449" s="60">
        <f>-capex_ship5*10^6+$K251+NPV(dr_med_ship5,$L251:W251)</f>
        <v>0</v>
      </c>
      <c r="X449" s="60">
        <f>-capex_ship5*10^6+$K251+NPV(dr_med_ship5,$L251:X251)</f>
        <v>0</v>
      </c>
      <c r="Y449" s="60">
        <f>-capex_ship5*10^6+$K251+NPV(dr_med_ship5,$L251:Y251)</f>
        <v>0</v>
      </c>
      <c r="Z449" s="60">
        <f>-capex_ship5*10^6+$K251+NPV(dr_med_ship5,$L251:Z251)</f>
        <v>0</v>
      </c>
    </row>
    <row r="450" spans="1:32" x14ac:dyDescent="0.2">
      <c r="A450" s="248"/>
      <c r="B450" s="248"/>
      <c r="C450" s="30" t="s">
        <v>19</v>
      </c>
      <c r="D450" s="63" t="e">
        <f>NA()</f>
        <v>#N/A</v>
      </c>
      <c r="E450" s="63" t="e">
        <f>NA()</f>
        <v>#N/A</v>
      </c>
      <c r="F450" s="63" t="e">
        <f>NA()</f>
        <v>#N/A</v>
      </c>
      <c r="G450" s="63" t="e">
        <f>NA()</f>
        <v>#N/A</v>
      </c>
      <c r="H450" s="63" t="e">
        <f>NA()</f>
        <v>#N/A</v>
      </c>
      <c r="I450" s="63" t="e">
        <f>NA()</f>
        <v>#N/A</v>
      </c>
      <c r="J450" s="63" t="e">
        <f>NA()</f>
        <v>#N/A</v>
      </c>
      <c r="K450" s="63">
        <f>-capex_ship5*10^6+$K252</f>
        <v>0</v>
      </c>
      <c r="L450" s="63">
        <f>-capex_ship5*10^6+$K252+NPV(dr_hi_ship5,$L252:L252)</f>
        <v>0</v>
      </c>
      <c r="M450" s="63">
        <f>-capex_ship5*10^6+$K252+NPV(dr_hi_ship5,$L252:M252)</f>
        <v>0</v>
      </c>
      <c r="N450" s="63">
        <f>-capex_ship5*10^6+$K252+NPV(dr_hi_ship5,$L252:N252)</f>
        <v>0</v>
      </c>
      <c r="O450" s="63">
        <f>-capex_ship5*10^6+$K252+NPV(dr_hi_ship5,$L252:O252)</f>
        <v>0</v>
      </c>
      <c r="P450" s="63">
        <f>-capex_ship5*10^6+$K252+NPV(dr_hi_ship5,$L252:P252)</f>
        <v>0</v>
      </c>
      <c r="Q450" s="63">
        <f>-capex_ship5*10^6+$K252+NPV(dr_hi_ship5,$L252:Q252)</f>
        <v>0</v>
      </c>
      <c r="R450" s="63">
        <f>-capex_ship5*10^6+$K252+NPV(dr_hi_ship5,$L252:R252)</f>
        <v>0</v>
      </c>
      <c r="S450" s="63">
        <f>-capex_ship5*10^6+$K252+NPV(dr_hi_ship5,$L252:S252)</f>
        <v>0</v>
      </c>
      <c r="T450" s="63">
        <f>-capex_ship5*10^6+$K252+NPV(dr_hi_ship5,$L252:T252)</f>
        <v>0</v>
      </c>
      <c r="U450" s="63">
        <f>-capex_ship5*10^6+$K252+NPV(dr_hi_ship5,$L252:U252)</f>
        <v>0</v>
      </c>
      <c r="V450" s="63">
        <f>-capex_ship5*10^6+$K252+NPV(dr_hi_ship5,$L252:V252)</f>
        <v>0</v>
      </c>
      <c r="W450" s="63">
        <f>-capex_ship5*10^6+$K252+NPV(dr_hi_ship5,$L252:W252)</f>
        <v>0</v>
      </c>
      <c r="X450" s="63">
        <f>-capex_ship5*10^6+$K252+NPV(dr_hi_ship5,$L252:X252)</f>
        <v>0</v>
      </c>
      <c r="Y450" s="63">
        <f>-capex_ship5*10^6+$K252+NPV(dr_hi_ship5,$L252:Y252)</f>
        <v>0</v>
      </c>
      <c r="Z450" s="63">
        <f>-capex_ship5*10^6+$K252+NPV(dr_hi_ship5,$L252:Z252)</f>
        <v>0</v>
      </c>
    </row>
    <row r="451" spans="1:32" x14ac:dyDescent="0.2">
      <c r="A451" s="248"/>
      <c r="B451" s="248">
        <f>ship6</f>
        <v>0</v>
      </c>
      <c r="C451" s="30" t="s">
        <v>17</v>
      </c>
      <c r="D451" s="56" t="e">
        <f>NA()</f>
        <v>#N/A</v>
      </c>
      <c r="E451" s="56" t="e">
        <f>NA()</f>
        <v>#N/A</v>
      </c>
      <c r="F451" s="56" t="e">
        <f>NA()</f>
        <v>#N/A</v>
      </c>
      <c r="G451" s="56" t="e">
        <f>NA()</f>
        <v>#N/A</v>
      </c>
      <c r="H451" s="56" t="e">
        <f>NA()</f>
        <v>#N/A</v>
      </c>
      <c r="I451" s="56" t="e">
        <f>NA()</f>
        <v>#N/A</v>
      </c>
      <c r="J451" s="56" t="e">
        <f>NA()</f>
        <v>#N/A</v>
      </c>
      <c r="K451" s="56">
        <f>-capex_ship6*10^6+$K253</f>
        <v>0</v>
      </c>
      <c r="L451" s="56">
        <f>-capex_ship6*10^6+$K253+NPV(dr_lo_ship6,$L253:L253)</f>
        <v>0</v>
      </c>
      <c r="M451" s="56">
        <f>-capex_ship6*10^6+$K253+NPV(dr_lo_ship6,$L253:M253)</f>
        <v>0</v>
      </c>
      <c r="N451" s="56">
        <f>-capex_ship6*10^6+$K253+NPV(dr_lo_ship6,$L253:N253)</f>
        <v>0</v>
      </c>
      <c r="O451" s="56">
        <f>-capex_ship6*10^6+$K253+NPV(dr_lo_ship6,$L253:O253)</f>
        <v>0</v>
      </c>
      <c r="P451" s="56">
        <f>-capex_ship6*10^6+$K253+NPV(dr_lo_ship6,$L253:P253)</f>
        <v>0</v>
      </c>
      <c r="Q451" s="56">
        <f>-capex_ship6*10^6+$K253+NPV(dr_lo_ship6,$L253:Q253)</f>
        <v>0</v>
      </c>
      <c r="R451" s="56">
        <f>-capex_ship6*10^6+$K253+NPV(dr_lo_ship6,$L253:R253)</f>
        <v>0</v>
      </c>
      <c r="S451" s="56">
        <f>-capex_ship6*10^6+$K253+NPV(dr_lo_ship6,$L253:S253)</f>
        <v>0</v>
      </c>
      <c r="T451" s="56">
        <f>-capex_ship6*10^6+$K253+NPV(dr_lo_ship6,$L253:T253)</f>
        <v>0</v>
      </c>
      <c r="U451" s="56">
        <f>-capex_ship6*10^6+$K253+NPV(dr_lo_ship6,$L253:U253)</f>
        <v>0</v>
      </c>
      <c r="V451" s="56">
        <f>-capex_ship6*10^6+$K253+NPV(dr_lo_ship6,$L253:V253)</f>
        <v>0</v>
      </c>
      <c r="W451" s="56">
        <f>-capex_ship6*10^6+$K253+NPV(dr_lo_ship6,$L253:W253)</f>
        <v>0</v>
      </c>
      <c r="X451" s="56">
        <f>-capex_ship6*10^6+$K253+NPV(dr_lo_ship6,$L253:X253)</f>
        <v>0</v>
      </c>
      <c r="Y451" s="56">
        <f>-capex_ship6*10^6+$K253+NPV(dr_lo_ship6,$L253:Y253)</f>
        <v>0</v>
      </c>
      <c r="Z451" s="56">
        <f>-capex_ship6*10^6+$K253+NPV(dr_lo_ship6,$L253:Z253)</f>
        <v>0</v>
      </c>
    </row>
    <row r="452" spans="1:32" x14ac:dyDescent="0.2">
      <c r="A452" s="248"/>
      <c r="B452" s="248"/>
      <c r="C452" s="30" t="s">
        <v>18</v>
      </c>
      <c r="D452" s="60" t="e">
        <f>NA()</f>
        <v>#N/A</v>
      </c>
      <c r="E452" s="60" t="e">
        <f>NA()</f>
        <v>#N/A</v>
      </c>
      <c r="F452" s="60" t="e">
        <f>NA()</f>
        <v>#N/A</v>
      </c>
      <c r="G452" s="60" t="e">
        <f>NA()</f>
        <v>#N/A</v>
      </c>
      <c r="H452" s="60" t="e">
        <f>NA()</f>
        <v>#N/A</v>
      </c>
      <c r="I452" s="60" t="e">
        <f>NA()</f>
        <v>#N/A</v>
      </c>
      <c r="J452" s="60" t="e">
        <f>NA()</f>
        <v>#N/A</v>
      </c>
      <c r="K452" s="60">
        <f>-capex_ship6*10^6+$K254</f>
        <v>0</v>
      </c>
      <c r="L452" s="60">
        <f>-capex_ship6*10^6+$K254+NPV(dr_med_ship6,$L254:L254)</f>
        <v>0</v>
      </c>
      <c r="M452" s="60">
        <f>-capex_ship6*10^6+$K254+NPV(dr_med_ship6,$L254:M254)</f>
        <v>0</v>
      </c>
      <c r="N452" s="60">
        <f>-capex_ship6*10^6+$K254+NPV(dr_med_ship6,$L254:N254)</f>
        <v>0</v>
      </c>
      <c r="O452" s="60">
        <f>-capex_ship6*10^6+$K254+NPV(dr_med_ship6,$L254:O254)</f>
        <v>0</v>
      </c>
      <c r="P452" s="60">
        <f>-capex_ship6*10^6+$K254+NPV(dr_med_ship6,$L254:P254)</f>
        <v>0</v>
      </c>
      <c r="Q452" s="60">
        <f>-capex_ship6*10^6+$K254+NPV(dr_med_ship6,$L254:Q254)</f>
        <v>0</v>
      </c>
      <c r="R452" s="60">
        <f>-capex_ship6*10^6+$K254+NPV(dr_med_ship6,$L254:R254)</f>
        <v>0</v>
      </c>
      <c r="S452" s="60">
        <f>-capex_ship6*10^6+$K254+NPV(dr_med_ship6,$L254:S254)</f>
        <v>0</v>
      </c>
      <c r="T452" s="60">
        <f>-capex_ship6*10^6+$K254+NPV(dr_med_ship6,$L254:T254)</f>
        <v>0</v>
      </c>
      <c r="U452" s="60">
        <f>-capex_ship6*10^6+$K254+NPV(dr_med_ship6,$L254:U254)</f>
        <v>0</v>
      </c>
      <c r="V452" s="60">
        <f>-capex_ship6*10^6+$K254+NPV(dr_med_ship6,$L254:V254)</f>
        <v>0</v>
      </c>
      <c r="W452" s="60">
        <f>-capex_ship6*10^6+$K254+NPV(dr_med_ship6,$L254:W254)</f>
        <v>0</v>
      </c>
      <c r="X452" s="60">
        <f>-capex_ship6*10^6+$K254+NPV(dr_med_ship6,$L254:X254)</f>
        <v>0</v>
      </c>
      <c r="Y452" s="60">
        <f>-capex_ship6*10^6+$K254+NPV(dr_med_ship6,$L254:Y254)</f>
        <v>0</v>
      </c>
      <c r="Z452" s="60">
        <f>-capex_ship6*10^6+$K254+NPV(dr_med_ship6,$L254:Z254)</f>
        <v>0</v>
      </c>
    </row>
    <row r="453" spans="1:32" x14ac:dyDescent="0.2">
      <c r="A453" s="248"/>
      <c r="B453" s="248"/>
      <c r="C453" s="30" t="s">
        <v>19</v>
      </c>
      <c r="D453" s="63" t="e">
        <f>NA()</f>
        <v>#N/A</v>
      </c>
      <c r="E453" s="63" t="e">
        <f>NA()</f>
        <v>#N/A</v>
      </c>
      <c r="F453" s="63" t="e">
        <f>NA()</f>
        <v>#N/A</v>
      </c>
      <c r="G453" s="63" t="e">
        <f>NA()</f>
        <v>#N/A</v>
      </c>
      <c r="H453" s="63" t="e">
        <f>NA()</f>
        <v>#N/A</v>
      </c>
      <c r="I453" s="63" t="e">
        <f>NA()</f>
        <v>#N/A</v>
      </c>
      <c r="J453" s="63" t="e">
        <f>NA()</f>
        <v>#N/A</v>
      </c>
      <c r="K453" s="63">
        <f>-capex_ship6*10^6+$K255</f>
        <v>0</v>
      </c>
      <c r="L453" s="63">
        <f>-capex_ship6*10^6+$K255+NPV(dr_hi_ship6,$L255:L255)</f>
        <v>0</v>
      </c>
      <c r="M453" s="63">
        <f>-capex_ship6*10^6+$K255+NPV(dr_hi_ship6,$L255:M255)</f>
        <v>0</v>
      </c>
      <c r="N453" s="63">
        <f>-capex_ship6*10^6+$K255+NPV(dr_hi_ship6,$L255:N255)</f>
        <v>0</v>
      </c>
      <c r="O453" s="63">
        <f>-capex_ship6*10^6+$K255+NPV(dr_hi_ship6,$L255:O255)</f>
        <v>0</v>
      </c>
      <c r="P453" s="63">
        <f>-capex_ship6*10^6+$K255+NPV(dr_hi_ship6,$L255:P255)</f>
        <v>0</v>
      </c>
      <c r="Q453" s="63">
        <f>-capex_ship6*10^6+$K255+NPV(dr_hi_ship6,$L255:Q255)</f>
        <v>0</v>
      </c>
      <c r="R453" s="63">
        <f>-capex_ship6*10^6+$K255+NPV(dr_hi_ship6,$L255:R255)</f>
        <v>0</v>
      </c>
      <c r="S453" s="63">
        <f>-capex_ship6*10^6+$K255+NPV(dr_hi_ship6,$L255:S255)</f>
        <v>0</v>
      </c>
      <c r="T453" s="63">
        <f>-capex_ship6*10^6+$K255+NPV(dr_hi_ship6,$L255:T255)</f>
        <v>0</v>
      </c>
      <c r="U453" s="63">
        <f>-capex_ship6*10^6+$K255+NPV(dr_hi_ship6,$L255:U255)</f>
        <v>0</v>
      </c>
      <c r="V453" s="63">
        <f>-capex_ship6*10^6+$K255+NPV(dr_hi_ship6,$L255:V255)</f>
        <v>0</v>
      </c>
      <c r="W453" s="63">
        <f>-capex_ship6*10^6+$K255+NPV(dr_hi_ship6,$L255:W255)</f>
        <v>0</v>
      </c>
      <c r="X453" s="63">
        <f>-capex_ship6*10^6+$K255+NPV(dr_hi_ship6,$L255:X255)</f>
        <v>0</v>
      </c>
      <c r="Y453" s="63">
        <f>-capex_ship6*10^6+$K255+NPV(dr_hi_ship6,$L255:Y255)</f>
        <v>0</v>
      </c>
      <c r="Z453" s="63">
        <f>-capex_ship6*10^6+$K255+NPV(dr_hi_ship6,$L255:Z255)</f>
        <v>0</v>
      </c>
    </row>
    <row r="454" spans="1:32" ht="12.75" customHeight="1" x14ac:dyDescent="0.2">
      <c r="A454" s="248" t="s">
        <v>132</v>
      </c>
      <c r="B454" s="248">
        <f>ship_plot</f>
        <v>0</v>
      </c>
      <c r="C454" s="30" t="s">
        <v>17</v>
      </c>
      <c r="D454" s="56" t="e">
        <f t="shared" ref="D454:Z454" si="297">IF(ship_plot=ship1,D436,IF(ship_plot=ship2,D439,IF(ship_plot=ship3,D442,IF(ship_plot=ship4,D445,IF(ship_plot=ship5,D448,IF(ship_plot=ship6,D451,"error"))))))</f>
        <v>#N/A</v>
      </c>
      <c r="E454" s="56" t="e">
        <f t="shared" si="297"/>
        <v>#N/A</v>
      </c>
      <c r="F454" s="56" t="e">
        <f t="shared" si="297"/>
        <v>#N/A</v>
      </c>
      <c r="G454" s="56" t="e">
        <f t="shared" si="297"/>
        <v>#N/A</v>
      </c>
      <c r="H454" s="56" t="e">
        <f t="shared" si="297"/>
        <v>#N/A</v>
      </c>
      <c r="I454" s="56" t="e">
        <f t="shared" si="297"/>
        <v>#N/A</v>
      </c>
      <c r="J454" s="56" t="e">
        <f t="shared" si="297"/>
        <v>#N/A</v>
      </c>
      <c r="K454" s="56">
        <f t="shared" si="297"/>
        <v>0</v>
      </c>
      <c r="L454" s="56">
        <f t="shared" si="297"/>
        <v>0</v>
      </c>
      <c r="M454" s="56">
        <f t="shared" si="297"/>
        <v>0</v>
      </c>
      <c r="N454" s="56">
        <f t="shared" si="297"/>
        <v>0</v>
      </c>
      <c r="O454" s="56">
        <f t="shared" si="297"/>
        <v>0</v>
      </c>
      <c r="P454" s="56">
        <f t="shared" si="297"/>
        <v>0</v>
      </c>
      <c r="Q454" s="56">
        <f t="shared" si="297"/>
        <v>0</v>
      </c>
      <c r="R454" s="56">
        <f t="shared" si="297"/>
        <v>0</v>
      </c>
      <c r="S454" s="56">
        <f t="shared" si="297"/>
        <v>0</v>
      </c>
      <c r="T454" s="56">
        <f t="shared" si="297"/>
        <v>0</v>
      </c>
      <c r="U454" s="56">
        <f t="shared" si="297"/>
        <v>0</v>
      </c>
      <c r="V454" s="56">
        <f t="shared" si="297"/>
        <v>0</v>
      </c>
      <c r="W454" s="56">
        <f t="shared" si="297"/>
        <v>0</v>
      </c>
      <c r="X454" s="56">
        <f t="shared" si="297"/>
        <v>0</v>
      </c>
      <c r="Y454" s="56">
        <f t="shared" si="297"/>
        <v>0</v>
      </c>
      <c r="Z454" s="56">
        <f t="shared" si="297"/>
        <v>0</v>
      </c>
    </row>
    <row r="455" spans="1:32" x14ac:dyDescent="0.2">
      <c r="A455" s="248"/>
      <c r="B455" s="248"/>
      <c r="C455" s="30" t="s">
        <v>18</v>
      </c>
      <c r="D455" s="60" t="e">
        <f t="shared" ref="D455:Z455" si="298">IF(ship_plot=ship1,D437,IF(ship_plot=ship2,D440,IF(ship_plot=ship3,D443,IF(ship_plot=ship4,D446,IF(ship_plot=ship5,D449,IF(ship_plot=ship6,D452,"error"))))))</f>
        <v>#N/A</v>
      </c>
      <c r="E455" s="60" t="e">
        <f t="shared" si="298"/>
        <v>#N/A</v>
      </c>
      <c r="F455" s="60" t="e">
        <f t="shared" si="298"/>
        <v>#N/A</v>
      </c>
      <c r="G455" s="60" t="e">
        <f t="shared" si="298"/>
        <v>#N/A</v>
      </c>
      <c r="H455" s="60" t="e">
        <f t="shared" si="298"/>
        <v>#N/A</v>
      </c>
      <c r="I455" s="60" t="e">
        <f t="shared" si="298"/>
        <v>#N/A</v>
      </c>
      <c r="J455" s="60" t="e">
        <f t="shared" si="298"/>
        <v>#N/A</v>
      </c>
      <c r="K455" s="60">
        <f t="shared" si="298"/>
        <v>0</v>
      </c>
      <c r="L455" s="60">
        <f t="shared" si="298"/>
        <v>0</v>
      </c>
      <c r="M455" s="60">
        <f t="shared" si="298"/>
        <v>0</v>
      </c>
      <c r="N455" s="60">
        <f t="shared" si="298"/>
        <v>0</v>
      </c>
      <c r="O455" s="60">
        <f t="shared" si="298"/>
        <v>0</v>
      </c>
      <c r="P455" s="60">
        <f t="shared" si="298"/>
        <v>0</v>
      </c>
      <c r="Q455" s="60">
        <f t="shared" si="298"/>
        <v>0</v>
      </c>
      <c r="R455" s="60">
        <f t="shared" si="298"/>
        <v>0</v>
      </c>
      <c r="S455" s="60">
        <f t="shared" si="298"/>
        <v>0</v>
      </c>
      <c r="T455" s="60">
        <f t="shared" si="298"/>
        <v>0</v>
      </c>
      <c r="U455" s="60">
        <f t="shared" si="298"/>
        <v>0</v>
      </c>
      <c r="V455" s="60">
        <f t="shared" si="298"/>
        <v>0</v>
      </c>
      <c r="W455" s="60">
        <f t="shared" si="298"/>
        <v>0</v>
      </c>
      <c r="X455" s="60">
        <f t="shared" si="298"/>
        <v>0</v>
      </c>
      <c r="Y455" s="60">
        <f t="shared" si="298"/>
        <v>0</v>
      </c>
      <c r="Z455" s="60">
        <f t="shared" si="298"/>
        <v>0</v>
      </c>
    </row>
    <row r="456" spans="1:32" x14ac:dyDescent="0.2">
      <c r="A456" s="248"/>
      <c r="B456" s="248"/>
      <c r="C456" s="30" t="s">
        <v>19</v>
      </c>
      <c r="D456" s="63" t="e">
        <f t="shared" ref="D456:Z456" si="299">IF(ship_plot=ship1,D438,IF(ship_plot=ship2,D441,IF(ship_plot=ship3,D444,IF(ship_plot=ship4,D447,IF(ship_plot=ship5,D450,IF(ship_plot=ship6,D453,"error"))))))</f>
        <v>#N/A</v>
      </c>
      <c r="E456" s="63" t="e">
        <f t="shared" si="299"/>
        <v>#N/A</v>
      </c>
      <c r="F456" s="63" t="e">
        <f t="shared" si="299"/>
        <v>#N/A</v>
      </c>
      <c r="G456" s="63" t="e">
        <f t="shared" si="299"/>
        <v>#N/A</v>
      </c>
      <c r="H456" s="63" t="e">
        <f t="shared" si="299"/>
        <v>#N/A</v>
      </c>
      <c r="I456" s="63" t="e">
        <f t="shared" si="299"/>
        <v>#N/A</v>
      </c>
      <c r="J456" s="63" t="e">
        <f t="shared" si="299"/>
        <v>#N/A</v>
      </c>
      <c r="K456" s="63">
        <f t="shared" si="299"/>
        <v>0</v>
      </c>
      <c r="L456" s="63">
        <f t="shared" si="299"/>
        <v>0</v>
      </c>
      <c r="M456" s="63">
        <f t="shared" si="299"/>
        <v>0</v>
      </c>
      <c r="N456" s="63">
        <f t="shared" si="299"/>
        <v>0</v>
      </c>
      <c r="O456" s="63">
        <f t="shared" si="299"/>
        <v>0</v>
      </c>
      <c r="P456" s="63">
        <f t="shared" si="299"/>
        <v>0</v>
      </c>
      <c r="Q456" s="63">
        <f t="shared" si="299"/>
        <v>0</v>
      </c>
      <c r="R456" s="63">
        <f t="shared" si="299"/>
        <v>0</v>
      </c>
      <c r="S456" s="63">
        <f t="shared" si="299"/>
        <v>0</v>
      </c>
      <c r="T456" s="63">
        <f t="shared" si="299"/>
        <v>0</v>
      </c>
      <c r="U456" s="63">
        <f t="shared" si="299"/>
        <v>0</v>
      </c>
      <c r="V456" s="63">
        <f t="shared" si="299"/>
        <v>0</v>
      </c>
      <c r="W456" s="63">
        <f t="shared" si="299"/>
        <v>0</v>
      </c>
      <c r="X456" s="63">
        <f t="shared" si="299"/>
        <v>0</v>
      </c>
      <c r="Y456" s="63">
        <f t="shared" si="299"/>
        <v>0</v>
      </c>
      <c r="Z456" s="63">
        <f t="shared" si="299"/>
        <v>0</v>
      </c>
    </row>
    <row r="457" spans="1:32" ht="12.75" customHeight="1" x14ac:dyDescent="0.2">
      <c r="A457" s="76" t="s">
        <v>133</v>
      </c>
      <c r="B457" s="76">
        <f>ship_plot</f>
        <v>0</v>
      </c>
      <c r="C457" s="77">
        <f>scenario_display</f>
        <v>0</v>
      </c>
      <c r="D457" s="78" t="e">
        <f t="shared" ref="D457:Z457" si="300">IF(scenario_display="Low",D454,IF(scenario_display="Medium",D455,D456))</f>
        <v>#N/A</v>
      </c>
      <c r="E457" s="78" t="e">
        <f t="shared" si="300"/>
        <v>#N/A</v>
      </c>
      <c r="F457" s="78" t="e">
        <f t="shared" si="300"/>
        <v>#N/A</v>
      </c>
      <c r="G457" s="78" t="e">
        <f t="shared" si="300"/>
        <v>#N/A</v>
      </c>
      <c r="H457" s="78" t="e">
        <f t="shared" si="300"/>
        <v>#N/A</v>
      </c>
      <c r="I457" s="78" t="e">
        <f t="shared" si="300"/>
        <v>#N/A</v>
      </c>
      <c r="J457" s="78" t="e">
        <f t="shared" si="300"/>
        <v>#N/A</v>
      </c>
      <c r="K457" s="78">
        <f t="shared" si="300"/>
        <v>0</v>
      </c>
      <c r="L457" s="78">
        <f t="shared" si="300"/>
        <v>0</v>
      </c>
      <c r="M457" s="78">
        <f t="shared" si="300"/>
        <v>0</v>
      </c>
      <c r="N457" s="78">
        <f t="shared" si="300"/>
        <v>0</v>
      </c>
      <c r="O457" s="78">
        <f t="shared" si="300"/>
        <v>0</v>
      </c>
      <c r="P457" s="78">
        <f t="shared" si="300"/>
        <v>0</v>
      </c>
      <c r="Q457" s="78">
        <f t="shared" si="300"/>
        <v>0</v>
      </c>
      <c r="R457" s="78">
        <f t="shared" si="300"/>
        <v>0</v>
      </c>
      <c r="S457" s="78">
        <f t="shared" si="300"/>
        <v>0</v>
      </c>
      <c r="T457" s="78">
        <f t="shared" si="300"/>
        <v>0</v>
      </c>
      <c r="U457" s="78">
        <f t="shared" si="300"/>
        <v>0</v>
      </c>
      <c r="V457" s="78">
        <f t="shared" si="300"/>
        <v>0</v>
      </c>
      <c r="W457" s="78">
        <f t="shared" si="300"/>
        <v>0</v>
      </c>
      <c r="X457" s="78">
        <f t="shared" si="300"/>
        <v>0</v>
      </c>
      <c r="Y457" s="78">
        <f t="shared" si="300"/>
        <v>0</v>
      </c>
      <c r="Z457" s="78">
        <f t="shared" si="300"/>
        <v>0</v>
      </c>
    </row>
    <row r="458" spans="1:32" x14ac:dyDescent="0.2">
      <c r="A458" s="248" t="s">
        <v>134</v>
      </c>
      <c r="B458" s="248">
        <f>ship1</f>
        <v>0</v>
      </c>
      <c r="C458" s="30" t="s">
        <v>17</v>
      </c>
      <c r="D458" s="56" t="e">
        <f>NA()</f>
        <v>#N/A</v>
      </c>
      <c r="E458" s="56" t="e">
        <f>NA()</f>
        <v>#N/A</v>
      </c>
      <c r="F458" s="56" t="e">
        <f>NA()</f>
        <v>#N/A</v>
      </c>
      <c r="G458" s="56" t="e">
        <f>NA()</f>
        <v>#N/A</v>
      </c>
      <c r="H458" s="56" t="e">
        <f>NA()</f>
        <v>#N/A</v>
      </c>
      <c r="I458" s="56" t="e">
        <f>NA()</f>
        <v>#N/A</v>
      </c>
      <c r="J458" s="56" t="e">
        <f>NA()</f>
        <v>#N/A</v>
      </c>
      <c r="K458" s="56" t="e">
        <f>NA()</f>
        <v>#N/A</v>
      </c>
      <c r="L458" s="56">
        <f>-capex_ship1*10^6+$L238</f>
        <v>0</v>
      </c>
      <c r="M458" s="56">
        <f>-capex_ship1*10^6+$L238+NPV(dr_lo_ship1,$M238:M238)</f>
        <v>0</v>
      </c>
      <c r="N458" s="56">
        <f>-capex_ship1*10^6+$L238+NPV(dr_lo_ship1,$M238:N238)</f>
        <v>0</v>
      </c>
      <c r="O458" s="56">
        <f>-capex_ship1*10^6+$L238+NPV(dr_lo_ship1,$M238:O238)</f>
        <v>0</v>
      </c>
      <c r="P458" s="56">
        <f>-capex_ship1*10^6+$L238+NPV(dr_lo_ship1,$M238:P238)</f>
        <v>0</v>
      </c>
      <c r="Q458" s="56">
        <f>-capex_ship1*10^6+$L238+NPV(dr_lo_ship1,$M238:Q238)</f>
        <v>0</v>
      </c>
      <c r="R458" s="56">
        <f>-capex_ship1*10^6+$L238+NPV(dr_lo_ship1,$M238:R238)</f>
        <v>0</v>
      </c>
      <c r="S458" s="56">
        <f>-capex_ship1*10^6+$L238+NPV(dr_lo_ship1,$M238:S238)</f>
        <v>0</v>
      </c>
      <c r="T458" s="56">
        <f>-capex_ship1*10^6+$L238+NPV(dr_lo_ship1,$M238:T238)</f>
        <v>0</v>
      </c>
      <c r="U458" s="56">
        <f>-capex_ship1*10^6+$L238+NPV(dr_lo_ship1,$M238:U238)</f>
        <v>0</v>
      </c>
      <c r="V458" s="56">
        <f>-capex_ship1*10^6+$L238+NPV(dr_lo_ship1,$M238:V238)</f>
        <v>0</v>
      </c>
      <c r="W458" s="56">
        <f>-capex_ship1*10^6+$L238+NPV(dr_lo_ship1,$M238:W238)</f>
        <v>0</v>
      </c>
      <c r="X458" s="56">
        <f>-capex_ship1*10^6+$L238+NPV(dr_lo_ship1,$M238:X238)</f>
        <v>0</v>
      </c>
      <c r="Y458" s="56">
        <f>-capex_ship1*10^6+$L238+NPV(dr_lo_ship1,$M238:Y238)</f>
        <v>0</v>
      </c>
      <c r="Z458" s="56">
        <f>-capex_ship1*10^6+$L238+NPV(dr_lo_ship1,$M238:Z238)</f>
        <v>0</v>
      </c>
    </row>
    <row r="459" spans="1:32" x14ac:dyDescent="0.2">
      <c r="A459" s="248"/>
      <c r="B459" s="248"/>
      <c r="C459" s="30" t="s">
        <v>18</v>
      </c>
      <c r="D459" s="60" t="e">
        <f>NA()</f>
        <v>#N/A</v>
      </c>
      <c r="E459" s="60" t="e">
        <f>NA()</f>
        <v>#N/A</v>
      </c>
      <c r="F459" s="60" t="e">
        <f>NA()</f>
        <v>#N/A</v>
      </c>
      <c r="G459" s="60" t="e">
        <f>NA()</f>
        <v>#N/A</v>
      </c>
      <c r="H459" s="60" t="e">
        <f>NA()</f>
        <v>#N/A</v>
      </c>
      <c r="I459" s="60" t="e">
        <f>NA()</f>
        <v>#N/A</v>
      </c>
      <c r="J459" s="60" t="e">
        <f>NA()</f>
        <v>#N/A</v>
      </c>
      <c r="K459" s="60" t="e">
        <f>NA()</f>
        <v>#N/A</v>
      </c>
      <c r="L459" s="60">
        <f>-capex_ship1*10^6+$L239</f>
        <v>0</v>
      </c>
      <c r="M459" s="60">
        <f>-capex_ship1*10^6+$L239+NPV(dr_med_ship1,$M239:M239)</f>
        <v>0</v>
      </c>
      <c r="N459" s="60">
        <f>-capex_ship1*10^6+$L239+NPV(dr_med_ship1,$M239:N239)</f>
        <v>0</v>
      </c>
      <c r="O459" s="60">
        <f>-capex_ship1*10^6+$L239+NPV(dr_med_ship1,$M239:O239)</f>
        <v>0</v>
      </c>
      <c r="P459" s="60">
        <f>-capex_ship1*10^6+$L239+NPV(dr_med_ship1,$M239:P239)</f>
        <v>0</v>
      </c>
      <c r="Q459" s="60">
        <f>-capex_ship1*10^6+$L239+NPV(dr_med_ship1,$M239:Q239)</f>
        <v>0</v>
      </c>
      <c r="R459" s="60">
        <f>-capex_ship1*10^6+$L239+NPV(dr_med_ship1,$M239:R239)</f>
        <v>0</v>
      </c>
      <c r="S459" s="60">
        <f>-capex_ship1*10^6+$L239+NPV(dr_med_ship1,$M239:S239)</f>
        <v>0</v>
      </c>
      <c r="T459" s="60">
        <f>-capex_ship1*10^6+$L239+NPV(dr_med_ship1,$M239:T239)</f>
        <v>0</v>
      </c>
      <c r="U459" s="60">
        <f>-capex_ship1*10^6+$L239+NPV(dr_med_ship1,$M239:U239)</f>
        <v>0</v>
      </c>
      <c r="V459" s="60">
        <f>-capex_ship1*10^6+$L239+NPV(dr_med_ship1,$M239:V239)</f>
        <v>0</v>
      </c>
      <c r="W459" s="60">
        <f>-capex_ship1*10^6+$L239+NPV(dr_med_ship1,$M239:W239)</f>
        <v>0</v>
      </c>
      <c r="X459" s="60">
        <f>-capex_ship1*10^6+$L239+NPV(dr_med_ship1,$M239:X239)</f>
        <v>0</v>
      </c>
      <c r="Y459" s="60">
        <f>-capex_ship1*10^6+$L239+NPV(dr_med_ship1,$M239:Y239)</f>
        <v>0</v>
      </c>
      <c r="Z459" s="60">
        <f>-capex_ship1*10^6+$L239+NPV(dr_med_ship1,$M239:Z239)</f>
        <v>0</v>
      </c>
    </row>
    <row r="460" spans="1:32" x14ac:dyDescent="0.2">
      <c r="A460" s="248"/>
      <c r="B460" s="248"/>
      <c r="C460" s="30" t="s">
        <v>19</v>
      </c>
      <c r="D460" s="63" t="e">
        <f>NA()</f>
        <v>#N/A</v>
      </c>
      <c r="E460" s="63" t="e">
        <f>NA()</f>
        <v>#N/A</v>
      </c>
      <c r="F460" s="63" t="e">
        <f>NA()</f>
        <v>#N/A</v>
      </c>
      <c r="G460" s="63" t="e">
        <f>NA()</f>
        <v>#N/A</v>
      </c>
      <c r="H460" s="63" t="e">
        <f>NA()</f>
        <v>#N/A</v>
      </c>
      <c r="I460" s="63" t="e">
        <f>NA()</f>
        <v>#N/A</v>
      </c>
      <c r="J460" s="63" t="e">
        <f>NA()</f>
        <v>#N/A</v>
      </c>
      <c r="K460" s="63" t="e">
        <f>NA()</f>
        <v>#N/A</v>
      </c>
      <c r="L460" s="63">
        <f>-capex_ship1*10^6+$L240</f>
        <v>0</v>
      </c>
      <c r="M460" s="63">
        <f>-capex_ship1*10^6+$L240+NPV(dr_hi_ship1,$M240:M240)</f>
        <v>0</v>
      </c>
      <c r="N460" s="63">
        <f>-capex_ship1*10^6+$L240+NPV(dr_hi_ship1,$M240:N240)</f>
        <v>0</v>
      </c>
      <c r="O460" s="63">
        <f>-capex_ship1*10^6+$L240+NPV(dr_hi_ship1,$M240:O240)</f>
        <v>0</v>
      </c>
      <c r="P460" s="63">
        <f>-capex_ship1*10^6+$L240+NPV(dr_hi_ship1,$M240:P240)</f>
        <v>0</v>
      </c>
      <c r="Q460" s="63">
        <f>-capex_ship1*10^6+$L240+NPV(dr_hi_ship1,$M240:Q240)</f>
        <v>0</v>
      </c>
      <c r="R460" s="63">
        <f>-capex_ship1*10^6+$L240+NPV(dr_hi_ship1,$M240:R240)</f>
        <v>0</v>
      </c>
      <c r="S460" s="63">
        <f>-capex_ship1*10^6+$L240+NPV(dr_hi_ship1,$M240:S240)</f>
        <v>0</v>
      </c>
      <c r="T460" s="63">
        <f>-capex_ship1*10^6+$L240+NPV(dr_hi_ship1,$M240:T240)</f>
        <v>0</v>
      </c>
      <c r="U460" s="63">
        <f>-capex_ship1*10^6+$L240+NPV(dr_hi_ship1,$M240:U240)</f>
        <v>0</v>
      </c>
      <c r="V460" s="63">
        <f>-capex_ship1*10^6+$L240+NPV(dr_hi_ship1,$M240:V240)</f>
        <v>0</v>
      </c>
      <c r="W460" s="63">
        <f>-capex_ship1*10^6+$L240+NPV(dr_hi_ship1,$M240:W240)</f>
        <v>0</v>
      </c>
      <c r="X460" s="63">
        <f>-capex_ship1*10^6+$L240+NPV(dr_hi_ship1,$M240:X240)</f>
        <v>0</v>
      </c>
      <c r="Y460" s="63">
        <f>-capex_ship1*10^6+$L240+NPV(dr_hi_ship1,$M240:Y240)</f>
        <v>0</v>
      </c>
      <c r="Z460" s="63">
        <f>-capex_ship1*10^6+$L240+NPV(dr_hi_ship1,$M240:Z240)</f>
        <v>0</v>
      </c>
      <c r="AF460" s="108"/>
    </row>
    <row r="461" spans="1:32" x14ac:dyDescent="0.2">
      <c r="A461" s="248"/>
      <c r="B461" s="248">
        <f>ship2</f>
        <v>0</v>
      </c>
      <c r="C461" s="30" t="s">
        <v>17</v>
      </c>
      <c r="D461" s="56" t="e">
        <f>NA()</f>
        <v>#N/A</v>
      </c>
      <c r="E461" s="56" t="e">
        <f>NA()</f>
        <v>#N/A</v>
      </c>
      <c r="F461" s="56" t="e">
        <f>NA()</f>
        <v>#N/A</v>
      </c>
      <c r="G461" s="56" t="e">
        <f>NA()</f>
        <v>#N/A</v>
      </c>
      <c r="H461" s="56" t="e">
        <f>NA()</f>
        <v>#N/A</v>
      </c>
      <c r="I461" s="56" t="e">
        <f>NA()</f>
        <v>#N/A</v>
      </c>
      <c r="J461" s="56" t="e">
        <f>NA()</f>
        <v>#N/A</v>
      </c>
      <c r="K461" s="56" t="e">
        <f>NA()</f>
        <v>#N/A</v>
      </c>
      <c r="L461" s="56">
        <f>-capex_ship2*10^6+$L241</f>
        <v>0</v>
      </c>
      <c r="M461" s="56">
        <f>-capex_ship2*10^6+$L241+NPV(dr_lo_ship2,$M241:M241)</f>
        <v>0</v>
      </c>
      <c r="N461" s="56">
        <f>-capex_ship2*10^6+$L241+NPV(dr_lo_ship2,$M241:N241)</f>
        <v>0</v>
      </c>
      <c r="O461" s="56">
        <f>-capex_ship2*10^6+$L241+NPV(dr_lo_ship2,$M241:O241)</f>
        <v>0</v>
      </c>
      <c r="P461" s="56">
        <f>-capex_ship2*10^6+$L241+NPV(dr_lo_ship2,$M241:P241)</f>
        <v>0</v>
      </c>
      <c r="Q461" s="56">
        <f>-capex_ship2*10^6+$L241+NPV(dr_lo_ship2,$M241:Q241)</f>
        <v>0</v>
      </c>
      <c r="R461" s="56">
        <f>-capex_ship2*10^6+$L241+NPV(dr_lo_ship2,$M241:R241)</f>
        <v>0</v>
      </c>
      <c r="S461" s="56">
        <f>-capex_ship2*10^6+$L241+NPV(dr_lo_ship2,$M241:S241)</f>
        <v>0</v>
      </c>
      <c r="T461" s="56">
        <f>-capex_ship2*10^6+$L241+NPV(dr_lo_ship2,$M241:T241)</f>
        <v>0</v>
      </c>
      <c r="U461" s="56">
        <f>-capex_ship2*10^6+$L241+NPV(dr_lo_ship2,$M241:U241)</f>
        <v>0</v>
      </c>
      <c r="V461" s="56">
        <f>-capex_ship2*10^6+$L241+NPV(dr_lo_ship2,$M241:V241)</f>
        <v>0</v>
      </c>
      <c r="W461" s="56">
        <f>-capex_ship2*10^6+$L241+NPV(dr_lo_ship2,$M241:W241)</f>
        <v>0</v>
      </c>
      <c r="X461" s="56">
        <f>-capex_ship2*10^6+$L241+NPV(dr_lo_ship2,$M241:X241)</f>
        <v>0</v>
      </c>
      <c r="Y461" s="56">
        <f>-capex_ship2*10^6+$L241+NPV(dr_lo_ship2,$M241:Y241)</f>
        <v>0</v>
      </c>
      <c r="Z461" s="56">
        <f>-capex_ship2*10^6+$L241+NPV(dr_lo_ship2,$M241:Z241)</f>
        <v>0</v>
      </c>
    </row>
    <row r="462" spans="1:32" x14ac:dyDescent="0.2">
      <c r="A462" s="248"/>
      <c r="B462" s="248"/>
      <c r="C462" s="30" t="s">
        <v>18</v>
      </c>
      <c r="D462" s="60" t="e">
        <f>NA()</f>
        <v>#N/A</v>
      </c>
      <c r="E462" s="60" t="e">
        <f>NA()</f>
        <v>#N/A</v>
      </c>
      <c r="F462" s="60" t="e">
        <f>NA()</f>
        <v>#N/A</v>
      </c>
      <c r="G462" s="60" t="e">
        <f>NA()</f>
        <v>#N/A</v>
      </c>
      <c r="H462" s="60" t="e">
        <f>NA()</f>
        <v>#N/A</v>
      </c>
      <c r="I462" s="60" t="e">
        <f>NA()</f>
        <v>#N/A</v>
      </c>
      <c r="J462" s="60" t="e">
        <f>NA()</f>
        <v>#N/A</v>
      </c>
      <c r="K462" s="60" t="e">
        <f>NA()</f>
        <v>#N/A</v>
      </c>
      <c r="L462" s="60">
        <f>-capex_ship2*10^6+$L242</f>
        <v>0</v>
      </c>
      <c r="M462" s="60">
        <f>-capex_ship2*10^6+$L242+NPV(dr_med_ship2,$M242:M242)</f>
        <v>0</v>
      </c>
      <c r="N462" s="60">
        <f>-capex_ship2*10^6+$L242+NPV(dr_med_ship2,$M242:N242)</f>
        <v>0</v>
      </c>
      <c r="O462" s="60">
        <f>-capex_ship2*10^6+$L242+NPV(dr_med_ship2,$M242:O242)</f>
        <v>0</v>
      </c>
      <c r="P462" s="60">
        <f>-capex_ship2*10^6+$L242+NPV(dr_med_ship2,$M242:P242)</f>
        <v>0</v>
      </c>
      <c r="Q462" s="60">
        <f>-capex_ship2*10^6+$L242+NPV(dr_med_ship2,$M242:Q242)</f>
        <v>0</v>
      </c>
      <c r="R462" s="60">
        <f>-capex_ship2*10^6+$L242+NPV(dr_med_ship2,$M242:R242)</f>
        <v>0</v>
      </c>
      <c r="S462" s="60">
        <f>-capex_ship2*10^6+$L242+NPV(dr_med_ship2,$M242:S242)</f>
        <v>0</v>
      </c>
      <c r="T462" s="60">
        <f>-capex_ship2*10^6+$L242+NPV(dr_med_ship2,$M242:T242)</f>
        <v>0</v>
      </c>
      <c r="U462" s="60">
        <f>-capex_ship2*10^6+$L242+NPV(dr_med_ship2,$M242:U242)</f>
        <v>0</v>
      </c>
      <c r="V462" s="60">
        <f>-capex_ship2*10^6+$L242+NPV(dr_med_ship2,$M242:V242)</f>
        <v>0</v>
      </c>
      <c r="W462" s="60">
        <f>-capex_ship2*10^6+$L242+NPV(dr_med_ship2,$M242:W242)</f>
        <v>0</v>
      </c>
      <c r="X462" s="60">
        <f>-capex_ship2*10^6+$L242+NPV(dr_med_ship2,$M242:X242)</f>
        <v>0</v>
      </c>
      <c r="Y462" s="60">
        <f>-capex_ship2*10^6+$L242+NPV(dr_med_ship2,$M242:Y242)</f>
        <v>0</v>
      </c>
      <c r="Z462" s="60">
        <f>-capex_ship2*10^6+$L242+NPV(dr_med_ship2,$M242:Z242)</f>
        <v>0</v>
      </c>
    </row>
    <row r="463" spans="1:32" x14ac:dyDescent="0.2">
      <c r="A463" s="248"/>
      <c r="B463" s="248"/>
      <c r="C463" s="30" t="s">
        <v>19</v>
      </c>
      <c r="D463" s="63" t="e">
        <f>NA()</f>
        <v>#N/A</v>
      </c>
      <c r="E463" s="63" t="e">
        <f>NA()</f>
        <v>#N/A</v>
      </c>
      <c r="F463" s="63" t="e">
        <f>NA()</f>
        <v>#N/A</v>
      </c>
      <c r="G463" s="63" t="e">
        <f>NA()</f>
        <v>#N/A</v>
      </c>
      <c r="H463" s="63" t="e">
        <f>NA()</f>
        <v>#N/A</v>
      </c>
      <c r="I463" s="63" t="e">
        <f>NA()</f>
        <v>#N/A</v>
      </c>
      <c r="J463" s="63" t="e">
        <f>NA()</f>
        <v>#N/A</v>
      </c>
      <c r="K463" s="63" t="e">
        <f>NA()</f>
        <v>#N/A</v>
      </c>
      <c r="L463" s="63">
        <f>-capex_ship2*10^6+$L243</f>
        <v>0</v>
      </c>
      <c r="M463" s="63">
        <f>-capex_ship2*10^6+$L243+NPV(dr_hi_ship2,$M243:M243)</f>
        <v>0</v>
      </c>
      <c r="N463" s="63">
        <f>-capex_ship2*10^6+$L243+NPV(dr_hi_ship2,$M243:N243)</f>
        <v>0</v>
      </c>
      <c r="O463" s="63">
        <f>-capex_ship2*10^6+$L243+NPV(dr_hi_ship2,$M243:O243)</f>
        <v>0</v>
      </c>
      <c r="P463" s="63">
        <f>-capex_ship2*10^6+$L243+NPV(dr_hi_ship2,$M243:P243)</f>
        <v>0</v>
      </c>
      <c r="Q463" s="63">
        <f>-capex_ship2*10^6+$L243+NPV(dr_hi_ship2,$M243:Q243)</f>
        <v>0</v>
      </c>
      <c r="R463" s="63">
        <f>-capex_ship2*10^6+$L243+NPV(dr_hi_ship2,$M243:R243)</f>
        <v>0</v>
      </c>
      <c r="S463" s="63">
        <f>-capex_ship2*10^6+$L243+NPV(dr_hi_ship2,$M243:S243)</f>
        <v>0</v>
      </c>
      <c r="T463" s="63">
        <f>-capex_ship2*10^6+$L243+NPV(dr_hi_ship2,$M243:T243)</f>
        <v>0</v>
      </c>
      <c r="U463" s="63">
        <f>-capex_ship2*10^6+$L243+NPV(dr_hi_ship2,$M243:U243)</f>
        <v>0</v>
      </c>
      <c r="V463" s="63">
        <f>-capex_ship2*10^6+$L243+NPV(dr_hi_ship2,$M243:V243)</f>
        <v>0</v>
      </c>
      <c r="W463" s="63">
        <f>-capex_ship2*10^6+$L243+NPV(dr_hi_ship2,$M243:W243)</f>
        <v>0</v>
      </c>
      <c r="X463" s="63">
        <f>-capex_ship2*10^6+$L243+NPV(dr_hi_ship2,$M243:X243)</f>
        <v>0</v>
      </c>
      <c r="Y463" s="63">
        <f>-capex_ship2*10^6+$L243+NPV(dr_hi_ship2,$M243:Y243)</f>
        <v>0</v>
      </c>
      <c r="Z463" s="63">
        <f>-capex_ship2*10^6+$L243+NPV(dr_hi_ship2,$M243:Z243)</f>
        <v>0</v>
      </c>
    </row>
    <row r="464" spans="1:32" x14ac:dyDescent="0.2">
      <c r="A464" s="248"/>
      <c r="B464" s="248">
        <f>ship3</f>
        <v>0</v>
      </c>
      <c r="C464" s="30" t="s">
        <v>17</v>
      </c>
      <c r="D464" s="56" t="e">
        <f>NA()</f>
        <v>#N/A</v>
      </c>
      <c r="E464" s="56" t="e">
        <f>NA()</f>
        <v>#N/A</v>
      </c>
      <c r="F464" s="56" t="e">
        <f>NA()</f>
        <v>#N/A</v>
      </c>
      <c r="G464" s="56" t="e">
        <f>NA()</f>
        <v>#N/A</v>
      </c>
      <c r="H464" s="56" t="e">
        <f>NA()</f>
        <v>#N/A</v>
      </c>
      <c r="I464" s="56" t="e">
        <f>NA()</f>
        <v>#N/A</v>
      </c>
      <c r="J464" s="56" t="e">
        <f>NA()</f>
        <v>#N/A</v>
      </c>
      <c r="K464" s="56" t="e">
        <f>NA()</f>
        <v>#N/A</v>
      </c>
      <c r="L464" s="56">
        <f>-capex_ship3*10^6+$L244</f>
        <v>0</v>
      </c>
      <c r="M464" s="56">
        <f>-capex_ship3*10^6+$L244+NPV(dr_lo_ship3,$M244:M244)</f>
        <v>0</v>
      </c>
      <c r="N464" s="56">
        <f>-capex_ship3*10^6+$L244+NPV(dr_lo_ship3,$M244:N244)</f>
        <v>0</v>
      </c>
      <c r="O464" s="56">
        <f>-capex_ship3*10^6+$L244+NPV(dr_lo_ship3,$M244:O244)</f>
        <v>0</v>
      </c>
      <c r="P464" s="56">
        <f>-capex_ship3*10^6+$L244+NPV(dr_lo_ship3,$M244:P244)</f>
        <v>0</v>
      </c>
      <c r="Q464" s="56">
        <f>-capex_ship3*10^6+$L244+NPV(dr_lo_ship3,$M244:Q244)</f>
        <v>0</v>
      </c>
      <c r="R464" s="56">
        <f>-capex_ship3*10^6+$L244+NPV(dr_lo_ship3,$M244:R244)</f>
        <v>0</v>
      </c>
      <c r="S464" s="56">
        <f>-capex_ship3*10^6+$L244+NPV(dr_lo_ship3,$M244:S244)</f>
        <v>0</v>
      </c>
      <c r="T464" s="56">
        <f>-capex_ship3*10^6+$L244+NPV(dr_lo_ship3,$M244:T244)</f>
        <v>0</v>
      </c>
      <c r="U464" s="56">
        <f>-capex_ship3*10^6+$L244+NPV(dr_lo_ship3,$M244:U244)</f>
        <v>0</v>
      </c>
      <c r="V464" s="56">
        <f>-capex_ship3*10^6+$L244+NPV(dr_lo_ship3,$M244:V244)</f>
        <v>0</v>
      </c>
      <c r="W464" s="56">
        <f>-capex_ship3*10^6+$L244+NPV(dr_lo_ship3,$M244:W244)</f>
        <v>0</v>
      </c>
      <c r="X464" s="56">
        <f>-capex_ship3*10^6+$L244+NPV(dr_lo_ship3,$M244:X244)</f>
        <v>0</v>
      </c>
      <c r="Y464" s="56">
        <f>-capex_ship3*10^6+$L244+NPV(dr_lo_ship3,$M244:Y244)</f>
        <v>0</v>
      </c>
      <c r="Z464" s="56">
        <f>-capex_ship3*10^6+$L244+NPV(dr_lo_ship3,$M244:Z244)</f>
        <v>0</v>
      </c>
    </row>
    <row r="465" spans="1:26" x14ac:dyDescent="0.2">
      <c r="A465" s="248"/>
      <c r="B465" s="248"/>
      <c r="C465" s="30" t="s">
        <v>18</v>
      </c>
      <c r="D465" s="60" t="e">
        <f>NA()</f>
        <v>#N/A</v>
      </c>
      <c r="E465" s="60" t="e">
        <f>NA()</f>
        <v>#N/A</v>
      </c>
      <c r="F465" s="60" t="e">
        <f>NA()</f>
        <v>#N/A</v>
      </c>
      <c r="G465" s="60" t="e">
        <f>NA()</f>
        <v>#N/A</v>
      </c>
      <c r="H465" s="60" t="e">
        <f>NA()</f>
        <v>#N/A</v>
      </c>
      <c r="I465" s="60" t="e">
        <f>NA()</f>
        <v>#N/A</v>
      </c>
      <c r="J465" s="60" t="e">
        <f>NA()</f>
        <v>#N/A</v>
      </c>
      <c r="K465" s="60" t="e">
        <f>NA()</f>
        <v>#N/A</v>
      </c>
      <c r="L465" s="60">
        <f>-capex_ship3*10^6+$L245</f>
        <v>0</v>
      </c>
      <c r="M465" s="60">
        <f>-capex_ship3*10^6+$L245+NPV(dr_med_ship3,$M245:M245)</f>
        <v>0</v>
      </c>
      <c r="N465" s="60">
        <f>-capex_ship3*10^6+$L245+NPV(dr_med_ship3,$M245:N245)</f>
        <v>0</v>
      </c>
      <c r="O465" s="60">
        <f>-capex_ship3*10^6+$L245+NPV(dr_med_ship3,$M245:O245)</f>
        <v>0</v>
      </c>
      <c r="P465" s="60">
        <f>-capex_ship3*10^6+$L245+NPV(dr_med_ship3,$M245:P245)</f>
        <v>0</v>
      </c>
      <c r="Q465" s="60">
        <f>-capex_ship3*10^6+$L245+NPV(dr_med_ship3,$M245:Q245)</f>
        <v>0</v>
      </c>
      <c r="R465" s="60">
        <f>-capex_ship3*10^6+$L245+NPV(dr_med_ship3,$M245:R245)</f>
        <v>0</v>
      </c>
      <c r="S465" s="60">
        <f>-capex_ship3*10^6+$L245+NPV(dr_med_ship3,$M245:S245)</f>
        <v>0</v>
      </c>
      <c r="T465" s="60">
        <f>-capex_ship3*10^6+$L245+NPV(dr_med_ship3,$M245:T245)</f>
        <v>0</v>
      </c>
      <c r="U465" s="60">
        <f>-capex_ship3*10^6+$L245+NPV(dr_med_ship3,$M245:U245)</f>
        <v>0</v>
      </c>
      <c r="V465" s="60">
        <f>-capex_ship3*10^6+$L245+NPV(dr_med_ship3,$M245:V245)</f>
        <v>0</v>
      </c>
      <c r="W465" s="60">
        <f>-capex_ship3*10^6+$L245+NPV(dr_med_ship3,$M245:W245)</f>
        <v>0</v>
      </c>
      <c r="X465" s="60">
        <f>-capex_ship3*10^6+$L245+NPV(dr_med_ship3,$M245:X245)</f>
        <v>0</v>
      </c>
      <c r="Y465" s="60">
        <f>-capex_ship3*10^6+$L245+NPV(dr_med_ship3,$M245:Y245)</f>
        <v>0</v>
      </c>
      <c r="Z465" s="60">
        <f>-capex_ship3*10^6+$L245+NPV(dr_med_ship3,$M245:Z245)</f>
        <v>0</v>
      </c>
    </row>
    <row r="466" spans="1:26" x14ac:dyDescent="0.2">
      <c r="A466" s="248"/>
      <c r="B466" s="248"/>
      <c r="C466" s="30" t="s">
        <v>19</v>
      </c>
      <c r="D466" s="63" t="e">
        <f>NA()</f>
        <v>#N/A</v>
      </c>
      <c r="E466" s="63" t="e">
        <f>NA()</f>
        <v>#N/A</v>
      </c>
      <c r="F466" s="63" t="e">
        <f>NA()</f>
        <v>#N/A</v>
      </c>
      <c r="G466" s="63" t="e">
        <f>NA()</f>
        <v>#N/A</v>
      </c>
      <c r="H466" s="63" t="e">
        <f>NA()</f>
        <v>#N/A</v>
      </c>
      <c r="I466" s="63" t="e">
        <f>NA()</f>
        <v>#N/A</v>
      </c>
      <c r="J466" s="63" t="e">
        <f>NA()</f>
        <v>#N/A</v>
      </c>
      <c r="K466" s="63" t="e">
        <f>NA()</f>
        <v>#N/A</v>
      </c>
      <c r="L466" s="63">
        <f>-capex_ship3*10^6+$L246</f>
        <v>0</v>
      </c>
      <c r="M466" s="63">
        <f>-capex_ship3*10^6+$L246+NPV(dr_hi_ship3,$M246:M246)</f>
        <v>0</v>
      </c>
      <c r="N466" s="63">
        <f>-capex_ship3*10^6+$L246+NPV(dr_hi_ship3,$M246:N246)</f>
        <v>0</v>
      </c>
      <c r="O466" s="63">
        <f>-capex_ship3*10^6+$L246+NPV(dr_hi_ship3,$M246:O246)</f>
        <v>0</v>
      </c>
      <c r="P466" s="63">
        <f>-capex_ship3*10^6+$L246+NPV(dr_hi_ship3,$M246:P246)</f>
        <v>0</v>
      </c>
      <c r="Q466" s="63">
        <f>-capex_ship3*10^6+$L246+NPV(dr_hi_ship3,$M246:Q246)</f>
        <v>0</v>
      </c>
      <c r="R466" s="63">
        <f>-capex_ship3*10^6+$L246+NPV(dr_hi_ship3,$M246:R246)</f>
        <v>0</v>
      </c>
      <c r="S466" s="63">
        <f>-capex_ship3*10^6+$L246+NPV(dr_hi_ship3,$M246:S246)</f>
        <v>0</v>
      </c>
      <c r="T466" s="63">
        <f>-capex_ship3*10^6+$L246+NPV(dr_hi_ship3,$M246:T246)</f>
        <v>0</v>
      </c>
      <c r="U466" s="63">
        <f>-capex_ship3*10^6+$L246+NPV(dr_hi_ship3,$M246:U246)</f>
        <v>0</v>
      </c>
      <c r="V466" s="63">
        <f>-capex_ship3*10^6+$L246+NPV(dr_hi_ship3,$M246:V246)</f>
        <v>0</v>
      </c>
      <c r="W466" s="63">
        <f>-capex_ship3*10^6+$L246+NPV(dr_hi_ship3,$M246:W246)</f>
        <v>0</v>
      </c>
      <c r="X466" s="63">
        <f>-capex_ship3*10^6+$L246+NPV(dr_hi_ship3,$M246:X246)</f>
        <v>0</v>
      </c>
      <c r="Y466" s="63">
        <f>-capex_ship3*10^6+$L246+NPV(dr_hi_ship3,$M246:Y246)</f>
        <v>0</v>
      </c>
      <c r="Z466" s="63">
        <f>-capex_ship3*10^6+$L246+NPV(dr_hi_ship3,$M246:Z246)</f>
        <v>0</v>
      </c>
    </row>
    <row r="467" spans="1:26" x14ac:dyDescent="0.2">
      <c r="A467" s="248"/>
      <c r="B467" s="248">
        <f>ship4</f>
        <v>0</v>
      </c>
      <c r="C467" s="30" t="s">
        <v>17</v>
      </c>
      <c r="D467" s="56" t="e">
        <f>NA()</f>
        <v>#N/A</v>
      </c>
      <c r="E467" s="56" t="e">
        <f>NA()</f>
        <v>#N/A</v>
      </c>
      <c r="F467" s="56" t="e">
        <f>NA()</f>
        <v>#N/A</v>
      </c>
      <c r="G467" s="56" t="e">
        <f>NA()</f>
        <v>#N/A</v>
      </c>
      <c r="H467" s="56" t="e">
        <f>NA()</f>
        <v>#N/A</v>
      </c>
      <c r="I467" s="56" t="e">
        <f>NA()</f>
        <v>#N/A</v>
      </c>
      <c r="J467" s="56" t="e">
        <f>NA()</f>
        <v>#N/A</v>
      </c>
      <c r="K467" s="56" t="e">
        <f>NA()</f>
        <v>#N/A</v>
      </c>
      <c r="L467" s="56">
        <f>-capex_ship4*10^6+$L247</f>
        <v>0</v>
      </c>
      <c r="M467" s="56">
        <f>-capex_ship4*10^6+$L247+NPV(dr_lo_ship4,$M247:M247)</f>
        <v>0</v>
      </c>
      <c r="N467" s="56">
        <f>-capex_ship4*10^6+$L247+NPV(dr_lo_ship4,$M247:N247)</f>
        <v>0</v>
      </c>
      <c r="O467" s="56">
        <f>-capex_ship4*10^6+$L247+NPV(dr_lo_ship4,$M247:O247)</f>
        <v>0</v>
      </c>
      <c r="P467" s="56">
        <f>-capex_ship4*10^6+$L247+NPV(dr_lo_ship4,$M247:P247)</f>
        <v>0</v>
      </c>
      <c r="Q467" s="56">
        <f>-capex_ship4*10^6+$L247+NPV(dr_lo_ship4,$M247:Q247)</f>
        <v>0</v>
      </c>
      <c r="R467" s="56">
        <f>-capex_ship4*10^6+$L247+NPV(dr_lo_ship4,$M247:R247)</f>
        <v>0</v>
      </c>
      <c r="S467" s="56">
        <f>-capex_ship4*10^6+$L247+NPV(dr_lo_ship4,$M247:S247)</f>
        <v>0</v>
      </c>
      <c r="T467" s="56">
        <f>-capex_ship4*10^6+$L247+NPV(dr_lo_ship4,$M247:T247)</f>
        <v>0</v>
      </c>
      <c r="U467" s="56">
        <f>-capex_ship4*10^6+$L247+NPV(dr_lo_ship4,$M247:U247)</f>
        <v>0</v>
      </c>
      <c r="V467" s="56">
        <f>-capex_ship4*10^6+$L247+NPV(dr_lo_ship4,$M247:V247)</f>
        <v>0</v>
      </c>
      <c r="W467" s="56">
        <f>-capex_ship4*10^6+$L247+NPV(dr_lo_ship4,$M247:W247)</f>
        <v>0</v>
      </c>
      <c r="X467" s="56">
        <f>-capex_ship4*10^6+$L247+NPV(dr_lo_ship4,$M247:X247)</f>
        <v>0</v>
      </c>
      <c r="Y467" s="56">
        <f>-capex_ship4*10^6+$L247+NPV(dr_lo_ship4,$M247:Y247)</f>
        <v>0</v>
      </c>
      <c r="Z467" s="56">
        <f>-capex_ship4*10^6+$L247+NPV(dr_lo_ship4,$M247:Z247)</f>
        <v>0</v>
      </c>
    </row>
    <row r="468" spans="1:26" x14ac:dyDescent="0.2">
      <c r="A468" s="248"/>
      <c r="B468" s="248"/>
      <c r="C468" s="30" t="s">
        <v>18</v>
      </c>
      <c r="D468" s="60" t="e">
        <f>NA()</f>
        <v>#N/A</v>
      </c>
      <c r="E468" s="60" t="e">
        <f>NA()</f>
        <v>#N/A</v>
      </c>
      <c r="F468" s="60" t="e">
        <f>NA()</f>
        <v>#N/A</v>
      </c>
      <c r="G468" s="60" t="e">
        <f>NA()</f>
        <v>#N/A</v>
      </c>
      <c r="H468" s="60" t="e">
        <f>NA()</f>
        <v>#N/A</v>
      </c>
      <c r="I468" s="60" t="e">
        <f>NA()</f>
        <v>#N/A</v>
      </c>
      <c r="J468" s="60" t="e">
        <f>NA()</f>
        <v>#N/A</v>
      </c>
      <c r="K468" s="60" t="e">
        <f>NA()</f>
        <v>#N/A</v>
      </c>
      <c r="L468" s="60">
        <f>-capex_ship4*10^6+$L248</f>
        <v>0</v>
      </c>
      <c r="M468" s="60">
        <f>-capex_ship4*10^6+$L248+NPV(dr_med_ship4,$M248:M248)</f>
        <v>0</v>
      </c>
      <c r="N468" s="60">
        <f>-capex_ship4*10^6+$L248+NPV(dr_med_ship4,$M248:N248)</f>
        <v>0</v>
      </c>
      <c r="O468" s="60">
        <f>-capex_ship4*10^6+$L248+NPV(dr_med_ship4,$M248:O248)</f>
        <v>0</v>
      </c>
      <c r="P468" s="60">
        <f>-capex_ship4*10^6+$L248+NPV(dr_med_ship4,$M248:P248)</f>
        <v>0</v>
      </c>
      <c r="Q468" s="60">
        <f>-capex_ship4*10^6+$L248+NPV(dr_med_ship4,$M248:Q248)</f>
        <v>0</v>
      </c>
      <c r="R468" s="60">
        <f>-capex_ship4*10^6+$L248+NPV(dr_med_ship4,$M248:R248)</f>
        <v>0</v>
      </c>
      <c r="S468" s="60">
        <f>-capex_ship4*10^6+$L248+NPV(dr_med_ship4,$M248:S248)</f>
        <v>0</v>
      </c>
      <c r="T468" s="60">
        <f>-capex_ship4*10^6+$L248+NPV(dr_med_ship4,$M248:T248)</f>
        <v>0</v>
      </c>
      <c r="U468" s="60">
        <f>-capex_ship4*10^6+$L248+NPV(dr_med_ship4,$M248:U248)</f>
        <v>0</v>
      </c>
      <c r="V468" s="60">
        <f>-capex_ship4*10^6+$L248+NPV(dr_med_ship4,$M248:V248)</f>
        <v>0</v>
      </c>
      <c r="W468" s="60">
        <f>-capex_ship4*10^6+$L248+NPV(dr_med_ship4,$M248:W248)</f>
        <v>0</v>
      </c>
      <c r="X468" s="60">
        <f>-capex_ship4*10^6+$L248+NPV(dr_med_ship4,$M248:X248)</f>
        <v>0</v>
      </c>
      <c r="Y468" s="60">
        <f>-capex_ship4*10^6+$L248+NPV(dr_med_ship4,$M248:Y248)</f>
        <v>0</v>
      </c>
      <c r="Z468" s="60">
        <f>-capex_ship4*10^6+$L248+NPV(dr_med_ship4,$M248:Z248)</f>
        <v>0</v>
      </c>
    </row>
    <row r="469" spans="1:26" x14ac:dyDescent="0.2">
      <c r="A469" s="248"/>
      <c r="B469" s="248"/>
      <c r="C469" s="30" t="s">
        <v>19</v>
      </c>
      <c r="D469" s="63" t="e">
        <f>NA()</f>
        <v>#N/A</v>
      </c>
      <c r="E469" s="63" t="e">
        <f>NA()</f>
        <v>#N/A</v>
      </c>
      <c r="F469" s="63" t="e">
        <f>NA()</f>
        <v>#N/A</v>
      </c>
      <c r="G469" s="63" t="e">
        <f>NA()</f>
        <v>#N/A</v>
      </c>
      <c r="H469" s="63" t="e">
        <f>NA()</f>
        <v>#N/A</v>
      </c>
      <c r="I469" s="63" t="e">
        <f>NA()</f>
        <v>#N/A</v>
      </c>
      <c r="J469" s="63" t="e">
        <f>NA()</f>
        <v>#N/A</v>
      </c>
      <c r="K469" s="63" t="e">
        <f>NA()</f>
        <v>#N/A</v>
      </c>
      <c r="L469" s="63">
        <f>-capex_ship4*10^6+$L249</f>
        <v>0</v>
      </c>
      <c r="M469" s="63">
        <f>-capex_ship4*10^6+$L249+NPV(dr_hi_ship4,$M249:M249)</f>
        <v>0</v>
      </c>
      <c r="N469" s="63">
        <f>-capex_ship4*10^6+$L249+NPV(dr_hi_ship4,$M249:N249)</f>
        <v>0</v>
      </c>
      <c r="O469" s="63">
        <f>-capex_ship4*10^6+$L249+NPV(dr_hi_ship4,$M249:O249)</f>
        <v>0</v>
      </c>
      <c r="P469" s="63">
        <f>-capex_ship4*10^6+$L249+NPV(dr_hi_ship4,$M249:P249)</f>
        <v>0</v>
      </c>
      <c r="Q469" s="63">
        <f>-capex_ship4*10^6+$L249+NPV(dr_hi_ship4,$M249:Q249)</f>
        <v>0</v>
      </c>
      <c r="R469" s="63">
        <f>-capex_ship4*10^6+$L249+NPV(dr_hi_ship4,$M249:R249)</f>
        <v>0</v>
      </c>
      <c r="S469" s="63">
        <f>-capex_ship4*10^6+$L249+NPV(dr_hi_ship4,$M249:S249)</f>
        <v>0</v>
      </c>
      <c r="T469" s="63">
        <f>-capex_ship4*10^6+$L249+NPV(dr_hi_ship4,$M249:T249)</f>
        <v>0</v>
      </c>
      <c r="U469" s="63">
        <f>-capex_ship4*10^6+$L249+NPV(dr_hi_ship4,$M249:U249)</f>
        <v>0</v>
      </c>
      <c r="V469" s="63">
        <f>-capex_ship4*10^6+$L249+NPV(dr_hi_ship4,$M249:V249)</f>
        <v>0</v>
      </c>
      <c r="W469" s="63">
        <f>-capex_ship4*10^6+$L249+NPV(dr_hi_ship4,$M249:W249)</f>
        <v>0</v>
      </c>
      <c r="X469" s="63">
        <f>-capex_ship4*10^6+$L249+NPV(dr_hi_ship4,$M249:X249)</f>
        <v>0</v>
      </c>
      <c r="Y469" s="63">
        <f>-capex_ship4*10^6+$L249+NPV(dr_hi_ship4,$M249:Y249)</f>
        <v>0</v>
      </c>
      <c r="Z469" s="63">
        <f>-capex_ship4*10^6+$L249+NPV(dr_hi_ship4,$M249:Z249)</f>
        <v>0</v>
      </c>
    </row>
    <row r="470" spans="1:26" x14ac:dyDescent="0.2">
      <c r="A470" s="248"/>
      <c r="B470" s="248">
        <f>ship5</f>
        <v>0</v>
      </c>
      <c r="C470" s="30" t="s">
        <v>17</v>
      </c>
      <c r="D470" s="56" t="e">
        <f>NA()</f>
        <v>#N/A</v>
      </c>
      <c r="E470" s="56" t="e">
        <f>NA()</f>
        <v>#N/A</v>
      </c>
      <c r="F470" s="56" t="e">
        <f>NA()</f>
        <v>#N/A</v>
      </c>
      <c r="G470" s="56" t="e">
        <f>NA()</f>
        <v>#N/A</v>
      </c>
      <c r="H470" s="56" t="e">
        <f>NA()</f>
        <v>#N/A</v>
      </c>
      <c r="I470" s="56" t="e">
        <f>NA()</f>
        <v>#N/A</v>
      </c>
      <c r="J470" s="56" t="e">
        <f>NA()</f>
        <v>#N/A</v>
      </c>
      <c r="K470" s="56" t="e">
        <f>NA()</f>
        <v>#N/A</v>
      </c>
      <c r="L470" s="56">
        <f>-capex_ship5*10^6+$L250</f>
        <v>0</v>
      </c>
      <c r="M470" s="56">
        <f>-capex_ship5*10^6+$L250+NPV(dr_lo_ship5,$M250:M250)</f>
        <v>0</v>
      </c>
      <c r="N470" s="56">
        <f>-capex_ship5*10^6+$L250+NPV(dr_lo_ship5,$M250:N250)</f>
        <v>0</v>
      </c>
      <c r="O470" s="56">
        <f>-capex_ship5*10^6+$L250+NPV(dr_lo_ship5,$M250:O250)</f>
        <v>0</v>
      </c>
      <c r="P470" s="56">
        <f>-capex_ship5*10^6+$L250+NPV(dr_lo_ship5,$M250:P250)</f>
        <v>0</v>
      </c>
      <c r="Q470" s="56">
        <f>-capex_ship5*10^6+$L250+NPV(dr_lo_ship5,$M250:Q250)</f>
        <v>0</v>
      </c>
      <c r="R470" s="56">
        <f>-capex_ship5*10^6+$L250+NPV(dr_lo_ship5,$M250:R250)</f>
        <v>0</v>
      </c>
      <c r="S470" s="56">
        <f>-capex_ship5*10^6+$L250+NPV(dr_lo_ship5,$M250:S250)</f>
        <v>0</v>
      </c>
      <c r="T470" s="56">
        <f>-capex_ship5*10^6+$L250+NPV(dr_lo_ship5,$M250:T250)</f>
        <v>0</v>
      </c>
      <c r="U470" s="56">
        <f>-capex_ship5*10^6+$L250+NPV(dr_lo_ship5,$M250:U250)</f>
        <v>0</v>
      </c>
      <c r="V470" s="56">
        <f>-capex_ship5*10^6+$L250+NPV(dr_lo_ship5,$M250:V250)</f>
        <v>0</v>
      </c>
      <c r="W470" s="56">
        <f>-capex_ship5*10^6+$L250+NPV(dr_lo_ship5,$M250:W250)</f>
        <v>0</v>
      </c>
      <c r="X470" s="56">
        <f>-capex_ship5*10^6+$L250+NPV(dr_lo_ship5,$M250:X250)</f>
        <v>0</v>
      </c>
      <c r="Y470" s="56">
        <f>-capex_ship5*10^6+$L250+NPV(dr_lo_ship5,$M250:Y250)</f>
        <v>0</v>
      </c>
      <c r="Z470" s="56">
        <f>-capex_ship5*10^6+$L250+NPV(dr_lo_ship5,$M250:Z250)</f>
        <v>0</v>
      </c>
    </row>
    <row r="471" spans="1:26" x14ac:dyDescent="0.2">
      <c r="A471" s="248"/>
      <c r="B471" s="248"/>
      <c r="C471" s="30" t="s">
        <v>18</v>
      </c>
      <c r="D471" s="60" t="e">
        <f>NA()</f>
        <v>#N/A</v>
      </c>
      <c r="E471" s="60" t="e">
        <f>NA()</f>
        <v>#N/A</v>
      </c>
      <c r="F471" s="60" t="e">
        <f>NA()</f>
        <v>#N/A</v>
      </c>
      <c r="G471" s="60" t="e">
        <f>NA()</f>
        <v>#N/A</v>
      </c>
      <c r="H471" s="60" t="e">
        <f>NA()</f>
        <v>#N/A</v>
      </c>
      <c r="I471" s="60" t="e">
        <f>NA()</f>
        <v>#N/A</v>
      </c>
      <c r="J471" s="60" t="e">
        <f>NA()</f>
        <v>#N/A</v>
      </c>
      <c r="K471" s="60" t="e">
        <f>NA()</f>
        <v>#N/A</v>
      </c>
      <c r="L471" s="60">
        <f>-capex_ship5*10^6+$L251</f>
        <v>0</v>
      </c>
      <c r="M471" s="60">
        <f>-capex_ship5*10^6+$L251+NPV(dr_med_ship5,$M251:M251)</f>
        <v>0</v>
      </c>
      <c r="N471" s="60">
        <f>-capex_ship5*10^6+$L251+NPV(dr_med_ship5,$M251:N251)</f>
        <v>0</v>
      </c>
      <c r="O471" s="60">
        <f>-capex_ship5*10^6+$L251+NPV(dr_med_ship5,$M251:O251)</f>
        <v>0</v>
      </c>
      <c r="P471" s="60">
        <f>-capex_ship5*10^6+$L251+NPV(dr_med_ship5,$M251:P251)</f>
        <v>0</v>
      </c>
      <c r="Q471" s="60">
        <f>-capex_ship5*10^6+$L251+NPV(dr_med_ship5,$M251:Q251)</f>
        <v>0</v>
      </c>
      <c r="R471" s="60">
        <f>-capex_ship5*10^6+$L251+NPV(dr_med_ship5,$M251:R251)</f>
        <v>0</v>
      </c>
      <c r="S471" s="60">
        <f>-capex_ship5*10^6+$L251+NPV(dr_med_ship5,$M251:S251)</f>
        <v>0</v>
      </c>
      <c r="T471" s="60">
        <f>-capex_ship5*10^6+$L251+NPV(dr_med_ship5,$M251:T251)</f>
        <v>0</v>
      </c>
      <c r="U471" s="60">
        <f>-capex_ship5*10^6+$L251+NPV(dr_med_ship5,$M251:U251)</f>
        <v>0</v>
      </c>
      <c r="V471" s="60">
        <f>-capex_ship5*10^6+$L251+NPV(dr_med_ship5,$M251:V251)</f>
        <v>0</v>
      </c>
      <c r="W471" s="60">
        <f>-capex_ship5*10^6+$L251+NPV(dr_med_ship5,$M251:W251)</f>
        <v>0</v>
      </c>
      <c r="X471" s="60">
        <f>-capex_ship5*10^6+$L251+NPV(dr_med_ship5,$M251:X251)</f>
        <v>0</v>
      </c>
      <c r="Y471" s="60">
        <f>-capex_ship5*10^6+$L251+NPV(dr_med_ship5,$M251:Y251)</f>
        <v>0</v>
      </c>
      <c r="Z471" s="60">
        <f>-capex_ship5*10^6+$L251+NPV(dr_med_ship5,$M251:Z251)</f>
        <v>0</v>
      </c>
    </row>
    <row r="472" spans="1:26" x14ac:dyDescent="0.2">
      <c r="A472" s="248"/>
      <c r="B472" s="248"/>
      <c r="C472" s="30" t="s">
        <v>19</v>
      </c>
      <c r="D472" s="63" t="e">
        <f>NA()</f>
        <v>#N/A</v>
      </c>
      <c r="E472" s="63" t="e">
        <f>NA()</f>
        <v>#N/A</v>
      </c>
      <c r="F472" s="63" t="e">
        <f>NA()</f>
        <v>#N/A</v>
      </c>
      <c r="G472" s="63" t="e">
        <f>NA()</f>
        <v>#N/A</v>
      </c>
      <c r="H472" s="63" t="e">
        <f>NA()</f>
        <v>#N/A</v>
      </c>
      <c r="I472" s="63" t="e">
        <f>NA()</f>
        <v>#N/A</v>
      </c>
      <c r="J472" s="63" t="e">
        <f>NA()</f>
        <v>#N/A</v>
      </c>
      <c r="K472" s="63" t="e">
        <f>NA()</f>
        <v>#N/A</v>
      </c>
      <c r="L472" s="63">
        <f>-capex_ship5*10^6+$L252</f>
        <v>0</v>
      </c>
      <c r="M472" s="63">
        <f>-capex_ship5*10^6+$L252+NPV(dr_hi_ship5,$M252:M252)</f>
        <v>0</v>
      </c>
      <c r="N472" s="63">
        <f>-capex_ship5*10^6+$L252+NPV(dr_hi_ship5,$M252:N252)</f>
        <v>0</v>
      </c>
      <c r="O472" s="63">
        <f>-capex_ship5*10^6+$L252+NPV(dr_hi_ship5,$M252:O252)</f>
        <v>0</v>
      </c>
      <c r="P472" s="63">
        <f>-capex_ship5*10^6+$L252+NPV(dr_hi_ship5,$M252:P252)</f>
        <v>0</v>
      </c>
      <c r="Q472" s="63">
        <f>-capex_ship5*10^6+$L252+NPV(dr_hi_ship5,$M252:Q252)</f>
        <v>0</v>
      </c>
      <c r="R472" s="63">
        <f>-capex_ship5*10^6+$L252+NPV(dr_hi_ship5,$M252:R252)</f>
        <v>0</v>
      </c>
      <c r="S472" s="63">
        <f>-capex_ship5*10^6+$L252+NPV(dr_hi_ship5,$M252:S252)</f>
        <v>0</v>
      </c>
      <c r="T472" s="63">
        <f>-capex_ship5*10^6+$L252+NPV(dr_hi_ship5,$M252:T252)</f>
        <v>0</v>
      </c>
      <c r="U472" s="63">
        <f>-capex_ship5*10^6+$L252+NPV(dr_hi_ship5,$M252:U252)</f>
        <v>0</v>
      </c>
      <c r="V472" s="63">
        <f>-capex_ship5*10^6+$L252+NPV(dr_hi_ship5,$M252:V252)</f>
        <v>0</v>
      </c>
      <c r="W472" s="63">
        <f>-capex_ship5*10^6+$L252+NPV(dr_hi_ship5,$M252:W252)</f>
        <v>0</v>
      </c>
      <c r="X472" s="63">
        <f>-capex_ship5*10^6+$L252+NPV(dr_hi_ship5,$M252:X252)</f>
        <v>0</v>
      </c>
      <c r="Y472" s="63">
        <f>-capex_ship5*10^6+$L252+NPV(dr_hi_ship5,$M252:Y252)</f>
        <v>0</v>
      </c>
      <c r="Z472" s="63">
        <f>-capex_ship5*10^6+$L252+NPV(dr_hi_ship5,$M252:Z252)</f>
        <v>0</v>
      </c>
    </row>
    <row r="473" spans="1:26" x14ac:dyDescent="0.2">
      <c r="A473" s="248"/>
      <c r="B473" s="248">
        <f>ship6</f>
        <v>0</v>
      </c>
      <c r="C473" s="30" t="s">
        <v>17</v>
      </c>
      <c r="D473" s="56" t="e">
        <f>NA()</f>
        <v>#N/A</v>
      </c>
      <c r="E473" s="56" t="e">
        <f>NA()</f>
        <v>#N/A</v>
      </c>
      <c r="F473" s="56" t="e">
        <f>NA()</f>
        <v>#N/A</v>
      </c>
      <c r="G473" s="56" t="e">
        <f>NA()</f>
        <v>#N/A</v>
      </c>
      <c r="H473" s="56" t="e">
        <f>NA()</f>
        <v>#N/A</v>
      </c>
      <c r="I473" s="56" t="e">
        <f>NA()</f>
        <v>#N/A</v>
      </c>
      <c r="J473" s="56" t="e">
        <f>NA()</f>
        <v>#N/A</v>
      </c>
      <c r="K473" s="56" t="e">
        <f>NA()</f>
        <v>#N/A</v>
      </c>
      <c r="L473" s="56">
        <f>-capex_ship6*10^6+$L253</f>
        <v>0</v>
      </c>
      <c r="M473" s="56">
        <f>-capex_ship6*10^6+$L253+NPV(dr_lo_ship6,$M253:M253)</f>
        <v>0</v>
      </c>
      <c r="N473" s="56">
        <f>-capex_ship6*10^6+$L253+NPV(dr_lo_ship6,$M253:N253)</f>
        <v>0</v>
      </c>
      <c r="O473" s="56">
        <f>-capex_ship6*10^6+$L253+NPV(dr_lo_ship6,$M253:O253)</f>
        <v>0</v>
      </c>
      <c r="P473" s="56">
        <f>-capex_ship6*10^6+$L253+NPV(dr_lo_ship6,$M253:P253)</f>
        <v>0</v>
      </c>
      <c r="Q473" s="56">
        <f>-capex_ship6*10^6+$L253+NPV(dr_lo_ship6,$M253:Q253)</f>
        <v>0</v>
      </c>
      <c r="R473" s="56">
        <f>-capex_ship6*10^6+$L253+NPV(dr_lo_ship6,$M253:R253)</f>
        <v>0</v>
      </c>
      <c r="S473" s="56">
        <f>-capex_ship6*10^6+$L253+NPV(dr_lo_ship6,$M253:S253)</f>
        <v>0</v>
      </c>
      <c r="T473" s="56">
        <f>-capex_ship6*10^6+$L253+NPV(dr_lo_ship6,$M253:T253)</f>
        <v>0</v>
      </c>
      <c r="U473" s="56">
        <f>-capex_ship6*10^6+$L253+NPV(dr_lo_ship6,$M253:U253)</f>
        <v>0</v>
      </c>
      <c r="V473" s="56">
        <f>-capex_ship6*10^6+$L253+NPV(dr_lo_ship6,$M253:V253)</f>
        <v>0</v>
      </c>
      <c r="W473" s="56">
        <f>-capex_ship6*10^6+$L253+NPV(dr_lo_ship6,$M253:W253)</f>
        <v>0</v>
      </c>
      <c r="X473" s="56">
        <f>-capex_ship6*10^6+$L253+NPV(dr_lo_ship6,$M253:X253)</f>
        <v>0</v>
      </c>
      <c r="Y473" s="56">
        <f>-capex_ship6*10^6+$L253+NPV(dr_lo_ship6,$M253:Y253)</f>
        <v>0</v>
      </c>
      <c r="Z473" s="56">
        <f>-capex_ship6*10^6+$L253+NPV(dr_lo_ship6,$M253:Z253)</f>
        <v>0</v>
      </c>
    </row>
    <row r="474" spans="1:26" x14ac:dyDescent="0.2">
      <c r="A474" s="248"/>
      <c r="B474" s="248"/>
      <c r="C474" s="30" t="s">
        <v>18</v>
      </c>
      <c r="D474" s="60" t="e">
        <f>NA()</f>
        <v>#N/A</v>
      </c>
      <c r="E474" s="60" t="e">
        <f>NA()</f>
        <v>#N/A</v>
      </c>
      <c r="F474" s="60" t="e">
        <f>NA()</f>
        <v>#N/A</v>
      </c>
      <c r="G474" s="60" t="e">
        <f>NA()</f>
        <v>#N/A</v>
      </c>
      <c r="H474" s="60" t="e">
        <f>NA()</f>
        <v>#N/A</v>
      </c>
      <c r="I474" s="60" t="e">
        <f>NA()</f>
        <v>#N/A</v>
      </c>
      <c r="J474" s="60" t="e">
        <f>NA()</f>
        <v>#N/A</v>
      </c>
      <c r="K474" s="60" t="e">
        <f>NA()</f>
        <v>#N/A</v>
      </c>
      <c r="L474" s="60">
        <f>-capex_ship6*10^6+$L254</f>
        <v>0</v>
      </c>
      <c r="M474" s="60">
        <f>-capex_ship6*10^6+$L254+NPV(dr_med_ship6,$M254:M254)</f>
        <v>0</v>
      </c>
      <c r="N474" s="60">
        <f>-capex_ship6*10^6+$L254+NPV(dr_med_ship6,$M254:N254)</f>
        <v>0</v>
      </c>
      <c r="O474" s="60">
        <f>-capex_ship6*10^6+$L254+NPV(dr_med_ship6,$M254:O254)</f>
        <v>0</v>
      </c>
      <c r="P474" s="60">
        <f>-capex_ship6*10^6+$L254+NPV(dr_med_ship6,$M254:P254)</f>
        <v>0</v>
      </c>
      <c r="Q474" s="60">
        <f>-capex_ship6*10^6+$L254+NPV(dr_med_ship6,$M254:Q254)</f>
        <v>0</v>
      </c>
      <c r="R474" s="60">
        <f>-capex_ship6*10^6+$L254+NPV(dr_med_ship6,$M254:R254)</f>
        <v>0</v>
      </c>
      <c r="S474" s="60">
        <f>-capex_ship6*10^6+$L254+NPV(dr_med_ship6,$M254:S254)</f>
        <v>0</v>
      </c>
      <c r="T474" s="60">
        <f>-capex_ship6*10^6+$L254+NPV(dr_med_ship6,$M254:T254)</f>
        <v>0</v>
      </c>
      <c r="U474" s="60">
        <f>-capex_ship6*10^6+$L254+NPV(dr_med_ship6,$M254:U254)</f>
        <v>0</v>
      </c>
      <c r="V474" s="60">
        <f>-capex_ship6*10^6+$L254+NPV(dr_med_ship6,$M254:V254)</f>
        <v>0</v>
      </c>
      <c r="W474" s="60">
        <f>-capex_ship6*10^6+$L254+NPV(dr_med_ship6,$M254:W254)</f>
        <v>0</v>
      </c>
      <c r="X474" s="60">
        <f>-capex_ship6*10^6+$L254+NPV(dr_med_ship6,$M254:X254)</f>
        <v>0</v>
      </c>
      <c r="Y474" s="60">
        <f>-capex_ship6*10^6+$L254+NPV(dr_med_ship6,$M254:Y254)</f>
        <v>0</v>
      </c>
      <c r="Z474" s="60">
        <f>-capex_ship6*10^6+$L254+NPV(dr_med_ship6,$M254:Z254)</f>
        <v>0</v>
      </c>
    </row>
    <row r="475" spans="1:26" x14ac:dyDescent="0.2">
      <c r="A475" s="248"/>
      <c r="B475" s="248"/>
      <c r="C475" s="30" t="s">
        <v>19</v>
      </c>
      <c r="D475" s="63" t="e">
        <f>NA()</f>
        <v>#N/A</v>
      </c>
      <c r="E475" s="63" t="e">
        <f>NA()</f>
        <v>#N/A</v>
      </c>
      <c r="F475" s="63" t="e">
        <f>NA()</f>
        <v>#N/A</v>
      </c>
      <c r="G475" s="63" t="e">
        <f>NA()</f>
        <v>#N/A</v>
      </c>
      <c r="H475" s="63" t="e">
        <f>NA()</f>
        <v>#N/A</v>
      </c>
      <c r="I475" s="63" t="e">
        <f>NA()</f>
        <v>#N/A</v>
      </c>
      <c r="J475" s="63" t="e">
        <f>NA()</f>
        <v>#N/A</v>
      </c>
      <c r="K475" s="63" t="e">
        <f>NA()</f>
        <v>#N/A</v>
      </c>
      <c r="L475" s="63">
        <f>-capex_ship6*10^6+$L255</f>
        <v>0</v>
      </c>
      <c r="M475" s="63">
        <f>-capex_ship6*10^6+$L255+NPV(dr_hi_ship6,$M255:M255)</f>
        <v>0</v>
      </c>
      <c r="N475" s="63">
        <f>-capex_ship6*10^6+$L255+NPV(dr_hi_ship6,$M255:N255)</f>
        <v>0</v>
      </c>
      <c r="O475" s="63">
        <f>-capex_ship6*10^6+$L255+NPV(dr_hi_ship6,$M255:O255)</f>
        <v>0</v>
      </c>
      <c r="P475" s="63">
        <f>-capex_ship6*10^6+$L255+NPV(dr_hi_ship6,$M255:P255)</f>
        <v>0</v>
      </c>
      <c r="Q475" s="63">
        <f>-capex_ship6*10^6+$L255+NPV(dr_hi_ship6,$M255:Q255)</f>
        <v>0</v>
      </c>
      <c r="R475" s="63">
        <f>-capex_ship6*10^6+$L255+NPV(dr_hi_ship6,$M255:R255)</f>
        <v>0</v>
      </c>
      <c r="S475" s="63">
        <f>-capex_ship6*10^6+$L255+NPV(dr_hi_ship6,$M255:S255)</f>
        <v>0</v>
      </c>
      <c r="T475" s="63">
        <f>-capex_ship6*10^6+$L255+NPV(dr_hi_ship6,$M255:T255)</f>
        <v>0</v>
      </c>
      <c r="U475" s="63">
        <f>-capex_ship6*10^6+$L255+NPV(dr_hi_ship6,$M255:U255)</f>
        <v>0</v>
      </c>
      <c r="V475" s="63">
        <f>-capex_ship6*10^6+$L255+NPV(dr_hi_ship6,$M255:V255)</f>
        <v>0</v>
      </c>
      <c r="W475" s="63">
        <f>-capex_ship6*10^6+$L255+NPV(dr_hi_ship6,$M255:W255)</f>
        <v>0</v>
      </c>
      <c r="X475" s="63">
        <f>-capex_ship6*10^6+$L255+NPV(dr_hi_ship6,$M255:X255)</f>
        <v>0</v>
      </c>
      <c r="Y475" s="63">
        <f>-capex_ship6*10^6+$L255+NPV(dr_hi_ship6,$M255:Y255)</f>
        <v>0</v>
      </c>
      <c r="Z475" s="63">
        <f>-capex_ship6*10^6+$L255+NPV(dr_hi_ship6,$M255:Z255)</f>
        <v>0</v>
      </c>
    </row>
    <row r="476" spans="1:26" ht="12.75" customHeight="1" x14ac:dyDescent="0.2">
      <c r="A476" s="248" t="s">
        <v>135</v>
      </c>
      <c r="B476" s="248">
        <f>ship_plot</f>
        <v>0</v>
      </c>
      <c r="C476" s="30" t="s">
        <v>17</v>
      </c>
      <c r="D476" s="56" t="e">
        <f t="shared" ref="D476:Z476" si="301">IF(ship_plot=ship1,D458,IF(ship_plot=ship2,D461,IF(ship_plot=ship3,D464,IF(ship_plot=ship4,D467,IF(ship_plot=ship5,D470,IF(ship_plot=ship6,D473,"error"))))))</f>
        <v>#N/A</v>
      </c>
      <c r="E476" s="56" t="e">
        <f t="shared" si="301"/>
        <v>#N/A</v>
      </c>
      <c r="F476" s="56" t="e">
        <f t="shared" si="301"/>
        <v>#N/A</v>
      </c>
      <c r="G476" s="56" t="e">
        <f t="shared" si="301"/>
        <v>#N/A</v>
      </c>
      <c r="H476" s="56" t="e">
        <f t="shared" si="301"/>
        <v>#N/A</v>
      </c>
      <c r="I476" s="56" t="e">
        <f t="shared" si="301"/>
        <v>#N/A</v>
      </c>
      <c r="J476" s="56" t="e">
        <f t="shared" si="301"/>
        <v>#N/A</v>
      </c>
      <c r="K476" s="56" t="e">
        <f t="shared" si="301"/>
        <v>#N/A</v>
      </c>
      <c r="L476" s="56">
        <f t="shared" si="301"/>
        <v>0</v>
      </c>
      <c r="M476" s="56">
        <f t="shared" si="301"/>
        <v>0</v>
      </c>
      <c r="N476" s="56">
        <f t="shared" si="301"/>
        <v>0</v>
      </c>
      <c r="O476" s="56">
        <f t="shared" si="301"/>
        <v>0</v>
      </c>
      <c r="P476" s="56">
        <f t="shared" si="301"/>
        <v>0</v>
      </c>
      <c r="Q476" s="56">
        <f t="shared" si="301"/>
        <v>0</v>
      </c>
      <c r="R476" s="56">
        <f t="shared" si="301"/>
        <v>0</v>
      </c>
      <c r="S476" s="56">
        <f t="shared" si="301"/>
        <v>0</v>
      </c>
      <c r="T476" s="56">
        <f t="shared" si="301"/>
        <v>0</v>
      </c>
      <c r="U476" s="56">
        <f t="shared" si="301"/>
        <v>0</v>
      </c>
      <c r="V476" s="56">
        <f t="shared" si="301"/>
        <v>0</v>
      </c>
      <c r="W476" s="56">
        <f t="shared" si="301"/>
        <v>0</v>
      </c>
      <c r="X476" s="56">
        <f t="shared" si="301"/>
        <v>0</v>
      </c>
      <c r="Y476" s="56">
        <f t="shared" si="301"/>
        <v>0</v>
      </c>
      <c r="Z476" s="56">
        <f t="shared" si="301"/>
        <v>0</v>
      </c>
    </row>
    <row r="477" spans="1:26" x14ac:dyDescent="0.2">
      <c r="A477" s="248"/>
      <c r="B477" s="248"/>
      <c r="C477" s="30" t="s">
        <v>18</v>
      </c>
      <c r="D477" s="60" t="e">
        <f t="shared" ref="D477:Z477" si="302">IF(ship_plot=ship1,D459,IF(ship_plot=ship2,D462,IF(ship_plot=ship3,D465,IF(ship_plot=ship4,D468,IF(ship_plot=ship5,D471,IF(ship_plot=ship6,D474,"error"))))))</f>
        <v>#N/A</v>
      </c>
      <c r="E477" s="60" t="e">
        <f t="shared" si="302"/>
        <v>#N/A</v>
      </c>
      <c r="F477" s="60" t="e">
        <f t="shared" si="302"/>
        <v>#N/A</v>
      </c>
      <c r="G477" s="60" t="e">
        <f t="shared" si="302"/>
        <v>#N/A</v>
      </c>
      <c r="H477" s="60" t="e">
        <f t="shared" si="302"/>
        <v>#N/A</v>
      </c>
      <c r="I477" s="60" t="e">
        <f t="shared" si="302"/>
        <v>#N/A</v>
      </c>
      <c r="J477" s="60" t="e">
        <f t="shared" si="302"/>
        <v>#N/A</v>
      </c>
      <c r="K477" s="60" t="e">
        <f t="shared" si="302"/>
        <v>#N/A</v>
      </c>
      <c r="L477" s="60">
        <f t="shared" si="302"/>
        <v>0</v>
      </c>
      <c r="M477" s="60">
        <f t="shared" si="302"/>
        <v>0</v>
      </c>
      <c r="N477" s="60">
        <f t="shared" si="302"/>
        <v>0</v>
      </c>
      <c r="O477" s="60">
        <f t="shared" si="302"/>
        <v>0</v>
      </c>
      <c r="P477" s="60">
        <f t="shared" si="302"/>
        <v>0</v>
      </c>
      <c r="Q477" s="60">
        <f t="shared" si="302"/>
        <v>0</v>
      </c>
      <c r="R477" s="60">
        <f t="shared" si="302"/>
        <v>0</v>
      </c>
      <c r="S477" s="60">
        <f t="shared" si="302"/>
        <v>0</v>
      </c>
      <c r="T477" s="60">
        <f t="shared" si="302"/>
        <v>0</v>
      </c>
      <c r="U477" s="60">
        <f t="shared" si="302"/>
        <v>0</v>
      </c>
      <c r="V477" s="60">
        <f t="shared" si="302"/>
        <v>0</v>
      </c>
      <c r="W477" s="60">
        <f t="shared" si="302"/>
        <v>0</v>
      </c>
      <c r="X477" s="60">
        <f t="shared" si="302"/>
        <v>0</v>
      </c>
      <c r="Y477" s="60">
        <f t="shared" si="302"/>
        <v>0</v>
      </c>
      <c r="Z477" s="60">
        <f t="shared" si="302"/>
        <v>0</v>
      </c>
    </row>
    <row r="478" spans="1:26" x14ac:dyDescent="0.2">
      <c r="A478" s="248"/>
      <c r="B478" s="248"/>
      <c r="C478" s="30" t="s">
        <v>19</v>
      </c>
      <c r="D478" s="63" t="e">
        <f t="shared" ref="D478:Z478" si="303">IF(ship_plot=ship1,D460,IF(ship_plot=ship2,D463,IF(ship_plot=ship3,D466,IF(ship_plot=ship4,D469,IF(ship_plot=ship5,D472,IF(ship_plot=ship6,D475,"error"))))))</f>
        <v>#N/A</v>
      </c>
      <c r="E478" s="63" t="e">
        <f t="shared" si="303"/>
        <v>#N/A</v>
      </c>
      <c r="F478" s="63" t="e">
        <f t="shared" si="303"/>
        <v>#N/A</v>
      </c>
      <c r="G478" s="63" t="e">
        <f t="shared" si="303"/>
        <v>#N/A</v>
      </c>
      <c r="H478" s="63" t="e">
        <f t="shared" si="303"/>
        <v>#N/A</v>
      </c>
      <c r="I478" s="63" t="e">
        <f t="shared" si="303"/>
        <v>#N/A</v>
      </c>
      <c r="J478" s="63" t="e">
        <f t="shared" si="303"/>
        <v>#N/A</v>
      </c>
      <c r="K478" s="63" t="e">
        <f t="shared" si="303"/>
        <v>#N/A</v>
      </c>
      <c r="L478" s="63">
        <f t="shared" si="303"/>
        <v>0</v>
      </c>
      <c r="M478" s="63">
        <f t="shared" si="303"/>
        <v>0</v>
      </c>
      <c r="N478" s="63">
        <f t="shared" si="303"/>
        <v>0</v>
      </c>
      <c r="O478" s="63">
        <f t="shared" si="303"/>
        <v>0</v>
      </c>
      <c r="P478" s="63">
        <f t="shared" si="303"/>
        <v>0</v>
      </c>
      <c r="Q478" s="63">
        <f t="shared" si="303"/>
        <v>0</v>
      </c>
      <c r="R478" s="63">
        <f t="shared" si="303"/>
        <v>0</v>
      </c>
      <c r="S478" s="63">
        <f t="shared" si="303"/>
        <v>0</v>
      </c>
      <c r="T478" s="63">
        <f t="shared" si="303"/>
        <v>0</v>
      </c>
      <c r="U478" s="63">
        <f t="shared" si="303"/>
        <v>0</v>
      </c>
      <c r="V478" s="63">
        <f t="shared" si="303"/>
        <v>0</v>
      </c>
      <c r="W478" s="63">
        <f t="shared" si="303"/>
        <v>0</v>
      </c>
      <c r="X478" s="63">
        <f t="shared" si="303"/>
        <v>0</v>
      </c>
      <c r="Y478" s="63">
        <f t="shared" si="303"/>
        <v>0</v>
      </c>
      <c r="Z478" s="63">
        <f t="shared" si="303"/>
        <v>0</v>
      </c>
    </row>
    <row r="479" spans="1:26" ht="12.75" customHeight="1" x14ac:dyDescent="0.2">
      <c r="A479" s="76" t="s">
        <v>136</v>
      </c>
      <c r="B479" s="76">
        <f>ship_plot</f>
        <v>0</v>
      </c>
      <c r="C479" s="77">
        <f>scenario_display</f>
        <v>0</v>
      </c>
      <c r="D479" s="78" t="e">
        <f t="shared" ref="D479:Z479" si="304">IF(scenario_display="Low",D476,IF(scenario_display="Medium",D477,D478))</f>
        <v>#N/A</v>
      </c>
      <c r="E479" s="78" t="e">
        <f t="shared" si="304"/>
        <v>#N/A</v>
      </c>
      <c r="F479" s="78" t="e">
        <f t="shared" si="304"/>
        <v>#N/A</v>
      </c>
      <c r="G479" s="78" t="e">
        <f t="shared" si="304"/>
        <v>#N/A</v>
      </c>
      <c r="H479" s="78" t="e">
        <f t="shared" si="304"/>
        <v>#N/A</v>
      </c>
      <c r="I479" s="78" t="e">
        <f t="shared" si="304"/>
        <v>#N/A</v>
      </c>
      <c r="J479" s="78" t="e">
        <f t="shared" si="304"/>
        <v>#N/A</v>
      </c>
      <c r="K479" s="78" t="e">
        <f t="shared" si="304"/>
        <v>#N/A</v>
      </c>
      <c r="L479" s="78">
        <f t="shared" si="304"/>
        <v>0</v>
      </c>
      <c r="M479" s="78">
        <f t="shared" si="304"/>
        <v>0</v>
      </c>
      <c r="N479" s="78">
        <f t="shared" si="304"/>
        <v>0</v>
      </c>
      <c r="O479" s="78">
        <f t="shared" si="304"/>
        <v>0</v>
      </c>
      <c r="P479" s="78">
        <f t="shared" si="304"/>
        <v>0</v>
      </c>
      <c r="Q479" s="78">
        <f t="shared" si="304"/>
        <v>0</v>
      </c>
      <c r="R479" s="78">
        <f t="shared" si="304"/>
        <v>0</v>
      </c>
      <c r="S479" s="78">
        <f t="shared" si="304"/>
        <v>0</v>
      </c>
      <c r="T479" s="78">
        <f t="shared" si="304"/>
        <v>0</v>
      </c>
      <c r="U479" s="78">
        <f t="shared" si="304"/>
        <v>0</v>
      </c>
      <c r="V479" s="78">
        <f t="shared" si="304"/>
        <v>0</v>
      </c>
      <c r="W479" s="78">
        <f t="shared" si="304"/>
        <v>0</v>
      </c>
      <c r="X479" s="78">
        <f t="shared" si="304"/>
        <v>0</v>
      </c>
      <c r="Y479" s="78">
        <f t="shared" si="304"/>
        <v>0</v>
      </c>
      <c r="Z479" s="78">
        <f t="shared" si="304"/>
        <v>0</v>
      </c>
    </row>
    <row r="480" spans="1:26" x14ac:dyDescent="0.2">
      <c r="A480" s="248" t="s">
        <v>137</v>
      </c>
      <c r="B480" s="248">
        <f>ship1</f>
        <v>0</v>
      </c>
      <c r="C480" s="30" t="s">
        <v>17</v>
      </c>
      <c r="D480" s="56" t="e">
        <f>NA()</f>
        <v>#N/A</v>
      </c>
      <c r="E480" s="56" t="e">
        <f>NA()</f>
        <v>#N/A</v>
      </c>
      <c r="F480" s="56" t="e">
        <f>NA()</f>
        <v>#N/A</v>
      </c>
      <c r="G480" s="56" t="e">
        <f>NA()</f>
        <v>#N/A</v>
      </c>
      <c r="H480" s="56" t="e">
        <f>NA()</f>
        <v>#N/A</v>
      </c>
      <c r="I480" s="56" t="e">
        <f>NA()</f>
        <v>#N/A</v>
      </c>
      <c r="J480" s="56" t="e">
        <f>NA()</f>
        <v>#N/A</v>
      </c>
      <c r="K480" s="56" t="e">
        <f>NA()</f>
        <v>#N/A</v>
      </c>
      <c r="L480" s="56" t="e">
        <f>NA()</f>
        <v>#N/A</v>
      </c>
      <c r="M480" s="56">
        <f>-capex_ship1*10^6+$M238</f>
        <v>0</v>
      </c>
      <c r="N480" s="56">
        <f>-capex_ship1*10^6+$M238+NPV(dr_lo_ship1,$N238:N238)</f>
        <v>0</v>
      </c>
      <c r="O480" s="56">
        <f>-capex_ship1*10^6+$M238+NPV(dr_lo_ship1,$N238:O238)</f>
        <v>0</v>
      </c>
      <c r="P480" s="56">
        <f>-capex_ship1*10^6+$M238+NPV(dr_lo_ship1,$N238:P238)</f>
        <v>0</v>
      </c>
      <c r="Q480" s="56">
        <f>-capex_ship1*10^6+$M238+NPV(dr_lo_ship1,$N238:Q238)</f>
        <v>0</v>
      </c>
      <c r="R480" s="56">
        <f>-capex_ship1*10^6+$M238+NPV(dr_lo_ship1,$N238:R238)</f>
        <v>0</v>
      </c>
      <c r="S480" s="56">
        <f>-capex_ship1*10^6+$M238+NPV(dr_lo_ship1,$N238:S238)</f>
        <v>0</v>
      </c>
      <c r="T480" s="56">
        <f>-capex_ship1*10^6+$M238+NPV(dr_lo_ship1,$N238:T238)</f>
        <v>0</v>
      </c>
      <c r="U480" s="56">
        <f>-capex_ship1*10^6+$M238+NPV(dr_lo_ship1,$N238:U238)</f>
        <v>0</v>
      </c>
      <c r="V480" s="56">
        <f>-capex_ship1*10^6+$M238+NPV(dr_lo_ship1,$N238:V238)</f>
        <v>0</v>
      </c>
      <c r="W480" s="56">
        <f>-capex_ship1*10^6+$M238+NPV(dr_lo_ship1,$N238:W238)</f>
        <v>0</v>
      </c>
      <c r="X480" s="56">
        <f>-capex_ship1*10^6+$M238+NPV(dr_lo_ship1,$N238:X238)</f>
        <v>0</v>
      </c>
      <c r="Y480" s="56">
        <f>-capex_ship1*10^6+$M238+NPV(dr_lo_ship1,$N238:Y238)</f>
        <v>0</v>
      </c>
      <c r="Z480" s="56">
        <f>-capex_ship1*10^6+$M238+NPV(dr_lo_ship1,$N238:Z238)</f>
        <v>0</v>
      </c>
    </row>
    <row r="481" spans="1:32" x14ac:dyDescent="0.2">
      <c r="A481" s="248"/>
      <c r="B481" s="248"/>
      <c r="C481" s="30" t="s">
        <v>18</v>
      </c>
      <c r="D481" s="60" t="e">
        <f>NA()</f>
        <v>#N/A</v>
      </c>
      <c r="E481" s="60" t="e">
        <f>NA()</f>
        <v>#N/A</v>
      </c>
      <c r="F481" s="60" t="e">
        <f>NA()</f>
        <v>#N/A</v>
      </c>
      <c r="G481" s="60" t="e">
        <f>NA()</f>
        <v>#N/A</v>
      </c>
      <c r="H481" s="60" t="e">
        <f>NA()</f>
        <v>#N/A</v>
      </c>
      <c r="I481" s="60" t="e">
        <f>NA()</f>
        <v>#N/A</v>
      </c>
      <c r="J481" s="60" t="e">
        <f>NA()</f>
        <v>#N/A</v>
      </c>
      <c r="K481" s="60" t="e">
        <f>NA()</f>
        <v>#N/A</v>
      </c>
      <c r="L481" s="60" t="e">
        <f>NA()</f>
        <v>#N/A</v>
      </c>
      <c r="M481" s="60">
        <f>-capex_ship1*10^6+$M239</f>
        <v>0</v>
      </c>
      <c r="N481" s="60">
        <f>-capex_ship1*10^6+$M239+NPV(dr_med_ship1,$N239:N239)</f>
        <v>0</v>
      </c>
      <c r="O481" s="60">
        <f>-capex_ship1*10^6+$M239+NPV(dr_med_ship1,$N239:O239)</f>
        <v>0</v>
      </c>
      <c r="P481" s="60">
        <f>-capex_ship1*10^6+$M239+NPV(dr_med_ship1,$N239:P239)</f>
        <v>0</v>
      </c>
      <c r="Q481" s="60">
        <f>-capex_ship1*10^6+$M239+NPV(dr_med_ship1,$N239:Q239)</f>
        <v>0</v>
      </c>
      <c r="R481" s="60">
        <f>-capex_ship1*10^6+$M239+NPV(dr_med_ship1,$N239:R239)</f>
        <v>0</v>
      </c>
      <c r="S481" s="60">
        <f>-capex_ship1*10^6+$M239+NPV(dr_med_ship1,$N239:S239)</f>
        <v>0</v>
      </c>
      <c r="T481" s="60">
        <f>-capex_ship1*10^6+$M239+NPV(dr_med_ship1,$N239:T239)</f>
        <v>0</v>
      </c>
      <c r="U481" s="60">
        <f>-capex_ship1*10^6+$M239+NPV(dr_med_ship1,$N239:U239)</f>
        <v>0</v>
      </c>
      <c r="V481" s="60">
        <f>-capex_ship1*10^6+$M239+NPV(dr_med_ship1,$N239:V239)</f>
        <v>0</v>
      </c>
      <c r="W481" s="60">
        <f>-capex_ship1*10^6+$M239+NPV(dr_med_ship1,$N239:W239)</f>
        <v>0</v>
      </c>
      <c r="X481" s="60">
        <f>-capex_ship1*10^6+$M239+NPV(dr_med_ship1,$N239:X239)</f>
        <v>0</v>
      </c>
      <c r="Y481" s="60">
        <f>-capex_ship1*10^6+$M239+NPV(dr_med_ship1,$N239:Y239)</f>
        <v>0</v>
      </c>
      <c r="Z481" s="60">
        <f>-capex_ship1*10^6+$M239+NPV(dr_med_ship1,$N239:Z239)</f>
        <v>0</v>
      </c>
    </row>
    <row r="482" spans="1:32" x14ac:dyDescent="0.2">
      <c r="A482" s="248"/>
      <c r="B482" s="248"/>
      <c r="C482" s="30" t="s">
        <v>19</v>
      </c>
      <c r="D482" s="63" t="e">
        <f>NA()</f>
        <v>#N/A</v>
      </c>
      <c r="E482" s="63" t="e">
        <f>NA()</f>
        <v>#N/A</v>
      </c>
      <c r="F482" s="63" t="e">
        <f>NA()</f>
        <v>#N/A</v>
      </c>
      <c r="G482" s="63" t="e">
        <f>NA()</f>
        <v>#N/A</v>
      </c>
      <c r="H482" s="63" t="e">
        <f>NA()</f>
        <v>#N/A</v>
      </c>
      <c r="I482" s="63" t="e">
        <f>NA()</f>
        <v>#N/A</v>
      </c>
      <c r="J482" s="63" t="e">
        <f>NA()</f>
        <v>#N/A</v>
      </c>
      <c r="K482" s="63" t="e">
        <f>NA()</f>
        <v>#N/A</v>
      </c>
      <c r="L482" s="63" t="e">
        <f>NA()</f>
        <v>#N/A</v>
      </c>
      <c r="M482" s="63">
        <f>-capex_ship1*10^6+$M240</f>
        <v>0</v>
      </c>
      <c r="N482" s="63">
        <f>-capex_ship1*10^6+$M240+NPV(dr_hi_ship1,$N240:N240)</f>
        <v>0</v>
      </c>
      <c r="O482" s="63">
        <f>-capex_ship1*10^6+$M240+NPV(dr_hi_ship1,$N240:O240)</f>
        <v>0</v>
      </c>
      <c r="P482" s="63">
        <f>-capex_ship1*10^6+$M240+NPV(dr_hi_ship1,$N240:P240)</f>
        <v>0</v>
      </c>
      <c r="Q482" s="63">
        <f>-capex_ship1*10^6+$M240+NPV(dr_hi_ship1,$N240:Q240)</f>
        <v>0</v>
      </c>
      <c r="R482" s="63">
        <f>-capex_ship1*10^6+$M240+NPV(dr_hi_ship1,$N240:R240)</f>
        <v>0</v>
      </c>
      <c r="S482" s="63">
        <f>-capex_ship1*10^6+$M240+NPV(dr_hi_ship1,$N240:S240)</f>
        <v>0</v>
      </c>
      <c r="T482" s="63">
        <f>-capex_ship1*10^6+$M240+NPV(dr_hi_ship1,$N240:T240)</f>
        <v>0</v>
      </c>
      <c r="U482" s="63">
        <f>-capex_ship1*10^6+$M240+NPV(dr_hi_ship1,$N240:U240)</f>
        <v>0</v>
      </c>
      <c r="V482" s="63">
        <f>-capex_ship1*10^6+$M240+NPV(dr_hi_ship1,$N240:V240)</f>
        <v>0</v>
      </c>
      <c r="W482" s="63">
        <f>-capex_ship1*10^6+$M240+NPV(dr_hi_ship1,$N240:W240)</f>
        <v>0</v>
      </c>
      <c r="X482" s="63">
        <f>-capex_ship1*10^6+$M240+NPV(dr_hi_ship1,$N240:X240)</f>
        <v>0</v>
      </c>
      <c r="Y482" s="63">
        <f>-capex_ship1*10^6+$M240+NPV(dr_hi_ship1,$N240:Y240)</f>
        <v>0</v>
      </c>
      <c r="Z482" s="63">
        <f>-capex_ship1*10^6+$M240+NPV(dr_hi_ship1,$N240:Z240)</f>
        <v>0</v>
      </c>
      <c r="AF482" s="108"/>
    </row>
    <row r="483" spans="1:32" x14ac:dyDescent="0.2">
      <c r="A483" s="248"/>
      <c r="B483" s="248">
        <f>ship2</f>
        <v>0</v>
      </c>
      <c r="C483" s="30" t="s">
        <v>17</v>
      </c>
      <c r="D483" s="56" t="e">
        <f>NA()</f>
        <v>#N/A</v>
      </c>
      <c r="E483" s="56" t="e">
        <f>NA()</f>
        <v>#N/A</v>
      </c>
      <c r="F483" s="56" t="e">
        <f>NA()</f>
        <v>#N/A</v>
      </c>
      <c r="G483" s="56" t="e">
        <f>NA()</f>
        <v>#N/A</v>
      </c>
      <c r="H483" s="56" t="e">
        <f>NA()</f>
        <v>#N/A</v>
      </c>
      <c r="I483" s="56" t="e">
        <f>NA()</f>
        <v>#N/A</v>
      </c>
      <c r="J483" s="56" t="e">
        <f>NA()</f>
        <v>#N/A</v>
      </c>
      <c r="K483" s="56" t="e">
        <f>NA()</f>
        <v>#N/A</v>
      </c>
      <c r="L483" s="56" t="e">
        <f>NA()</f>
        <v>#N/A</v>
      </c>
      <c r="M483" s="56">
        <f>-capex_ship2*10^6+$M241</f>
        <v>0</v>
      </c>
      <c r="N483" s="56">
        <f>-capex_ship2*10^6+$M241+NPV(dr_lo_ship2,$N241:N241)</f>
        <v>0</v>
      </c>
      <c r="O483" s="56">
        <f>-capex_ship2*10^6+$M241+NPV(dr_lo_ship2,$N241:O241)</f>
        <v>0</v>
      </c>
      <c r="P483" s="56">
        <f>-capex_ship2*10^6+$M241+NPV(dr_lo_ship2,$N241:P241)</f>
        <v>0</v>
      </c>
      <c r="Q483" s="56">
        <f>-capex_ship2*10^6+$M241+NPV(dr_lo_ship2,$N241:Q241)</f>
        <v>0</v>
      </c>
      <c r="R483" s="56">
        <f>-capex_ship2*10^6+$M241+NPV(dr_lo_ship2,$N241:R241)</f>
        <v>0</v>
      </c>
      <c r="S483" s="56">
        <f>-capex_ship2*10^6+$M241+NPV(dr_lo_ship2,$N241:S241)</f>
        <v>0</v>
      </c>
      <c r="T483" s="56">
        <f>-capex_ship2*10^6+$M241+NPV(dr_lo_ship2,$N241:T241)</f>
        <v>0</v>
      </c>
      <c r="U483" s="56">
        <f>-capex_ship2*10^6+$M241+NPV(dr_lo_ship2,$N241:U241)</f>
        <v>0</v>
      </c>
      <c r="V483" s="56">
        <f>-capex_ship2*10^6+$M241+NPV(dr_lo_ship2,$N241:V241)</f>
        <v>0</v>
      </c>
      <c r="W483" s="56">
        <f>-capex_ship2*10^6+$M241+NPV(dr_lo_ship2,$N241:W241)</f>
        <v>0</v>
      </c>
      <c r="X483" s="56">
        <f>-capex_ship2*10^6+$M241+NPV(dr_lo_ship2,$N241:X241)</f>
        <v>0</v>
      </c>
      <c r="Y483" s="56">
        <f>-capex_ship2*10^6+$M241+NPV(dr_lo_ship2,$N241:Y241)</f>
        <v>0</v>
      </c>
      <c r="Z483" s="56">
        <f>-capex_ship2*10^6+$M241+NPV(dr_lo_ship2,$N241:Z241)</f>
        <v>0</v>
      </c>
    </row>
    <row r="484" spans="1:32" x14ac:dyDescent="0.2">
      <c r="A484" s="248"/>
      <c r="B484" s="248"/>
      <c r="C484" s="30" t="s">
        <v>18</v>
      </c>
      <c r="D484" s="60" t="e">
        <f>NA()</f>
        <v>#N/A</v>
      </c>
      <c r="E484" s="60" t="e">
        <f>NA()</f>
        <v>#N/A</v>
      </c>
      <c r="F484" s="60" t="e">
        <f>NA()</f>
        <v>#N/A</v>
      </c>
      <c r="G484" s="60" t="e">
        <f>NA()</f>
        <v>#N/A</v>
      </c>
      <c r="H484" s="60" t="e">
        <f>NA()</f>
        <v>#N/A</v>
      </c>
      <c r="I484" s="60" t="e">
        <f>NA()</f>
        <v>#N/A</v>
      </c>
      <c r="J484" s="60" t="e">
        <f>NA()</f>
        <v>#N/A</v>
      </c>
      <c r="K484" s="60" t="e">
        <f>NA()</f>
        <v>#N/A</v>
      </c>
      <c r="L484" s="60" t="e">
        <f>NA()</f>
        <v>#N/A</v>
      </c>
      <c r="M484" s="60">
        <f>-capex_ship2*10^6+$M242</f>
        <v>0</v>
      </c>
      <c r="N484" s="60">
        <f>-capex_ship2*10^6+$M242+NPV(dr_med_ship2,$N242:N242)</f>
        <v>0</v>
      </c>
      <c r="O484" s="60">
        <f>-capex_ship2*10^6+$M242+NPV(dr_med_ship2,$N242:O242)</f>
        <v>0</v>
      </c>
      <c r="P484" s="60">
        <f>-capex_ship2*10^6+$M242+NPV(dr_med_ship2,$N242:P242)</f>
        <v>0</v>
      </c>
      <c r="Q484" s="60">
        <f>-capex_ship2*10^6+$M242+NPV(dr_med_ship2,$N242:Q242)</f>
        <v>0</v>
      </c>
      <c r="R484" s="60">
        <f>-capex_ship2*10^6+$M242+NPV(dr_med_ship2,$N242:R242)</f>
        <v>0</v>
      </c>
      <c r="S484" s="60">
        <f>-capex_ship2*10^6+$M242+NPV(dr_med_ship2,$N242:S242)</f>
        <v>0</v>
      </c>
      <c r="T484" s="60">
        <f>-capex_ship2*10^6+$M242+NPV(dr_med_ship2,$N242:T242)</f>
        <v>0</v>
      </c>
      <c r="U484" s="60">
        <f>-capex_ship2*10^6+$M242+NPV(dr_med_ship2,$N242:U242)</f>
        <v>0</v>
      </c>
      <c r="V484" s="60">
        <f>-capex_ship2*10^6+$M242+NPV(dr_med_ship2,$N242:V242)</f>
        <v>0</v>
      </c>
      <c r="W484" s="60">
        <f>-capex_ship2*10^6+$M242+NPV(dr_med_ship2,$N242:W242)</f>
        <v>0</v>
      </c>
      <c r="X484" s="60">
        <f>-capex_ship2*10^6+$M242+NPV(dr_med_ship2,$N242:X242)</f>
        <v>0</v>
      </c>
      <c r="Y484" s="60">
        <f>-capex_ship2*10^6+$M242+NPV(dr_med_ship2,$N242:Y242)</f>
        <v>0</v>
      </c>
      <c r="Z484" s="60">
        <f>-capex_ship2*10^6+$M242+NPV(dr_med_ship2,$N242:Z242)</f>
        <v>0</v>
      </c>
    </row>
    <row r="485" spans="1:32" x14ac:dyDescent="0.2">
      <c r="A485" s="248"/>
      <c r="B485" s="248"/>
      <c r="C485" s="30" t="s">
        <v>19</v>
      </c>
      <c r="D485" s="63" t="e">
        <f>NA()</f>
        <v>#N/A</v>
      </c>
      <c r="E485" s="63" t="e">
        <f>NA()</f>
        <v>#N/A</v>
      </c>
      <c r="F485" s="63" t="e">
        <f>NA()</f>
        <v>#N/A</v>
      </c>
      <c r="G485" s="63" t="e">
        <f>NA()</f>
        <v>#N/A</v>
      </c>
      <c r="H485" s="63" t="e">
        <f>NA()</f>
        <v>#N/A</v>
      </c>
      <c r="I485" s="63" t="e">
        <f>NA()</f>
        <v>#N/A</v>
      </c>
      <c r="J485" s="63" t="e">
        <f>NA()</f>
        <v>#N/A</v>
      </c>
      <c r="K485" s="63" t="e">
        <f>NA()</f>
        <v>#N/A</v>
      </c>
      <c r="L485" s="63" t="e">
        <f>NA()</f>
        <v>#N/A</v>
      </c>
      <c r="M485" s="63">
        <f>-capex_ship2*10^6+$M243</f>
        <v>0</v>
      </c>
      <c r="N485" s="63">
        <f>-capex_ship2*10^6+$M243+NPV(dr_hi_ship2,$N243:N243)</f>
        <v>0</v>
      </c>
      <c r="O485" s="63">
        <f>-capex_ship2*10^6+$M243+NPV(dr_hi_ship2,$N243:O243)</f>
        <v>0</v>
      </c>
      <c r="P485" s="63">
        <f>-capex_ship2*10^6+$M243+NPV(dr_hi_ship2,$N243:P243)</f>
        <v>0</v>
      </c>
      <c r="Q485" s="63">
        <f>-capex_ship2*10^6+$M243+NPV(dr_hi_ship2,$N243:Q243)</f>
        <v>0</v>
      </c>
      <c r="R485" s="63">
        <f>-capex_ship2*10^6+$M243+NPV(dr_hi_ship2,$N243:R243)</f>
        <v>0</v>
      </c>
      <c r="S485" s="63">
        <f>-capex_ship2*10^6+$M243+NPV(dr_hi_ship2,$N243:S243)</f>
        <v>0</v>
      </c>
      <c r="T485" s="63">
        <f>-capex_ship2*10^6+$M243+NPV(dr_hi_ship2,$N243:T243)</f>
        <v>0</v>
      </c>
      <c r="U485" s="63">
        <f>-capex_ship2*10^6+$M243+NPV(dr_hi_ship2,$N243:U243)</f>
        <v>0</v>
      </c>
      <c r="V485" s="63">
        <f>-capex_ship2*10^6+$M243+NPV(dr_hi_ship2,$N243:V243)</f>
        <v>0</v>
      </c>
      <c r="W485" s="63">
        <f>-capex_ship2*10^6+$M243+NPV(dr_hi_ship2,$N243:W243)</f>
        <v>0</v>
      </c>
      <c r="X485" s="63">
        <f>-capex_ship2*10^6+$M243+NPV(dr_hi_ship2,$N243:X243)</f>
        <v>0</v>
      </c>
      <c r="Y485" s="63">
        <f>-capex_ship2*10^6+$M243+NPV(dr_hi_ship2,$N243:Y243)</f>
        <v>0</v>
      </c>
      <c r="Z485" s="63">
        <f>-capex_ship2*10^6+$M243+NPV(dr_hi_ship2,$N243:Z243)</f>
        <v>0</v>
      </c>
    </row>
    <row r="486" spans="1:32" x14ac:dyDescent="0.2">
      <c r="A486" s="248"/>
      <c r="B486" s="248">
        <f>ship3</f>
        <v>0</v>
      </c>
      <c r="C486" s="30" t="s">
        <v>17</v>
      </c>
      <c r="D486" s="56" t="e">
        <f>NA()</f>
        <v>#N/A</v>
      </c>
      <c r="E486" s="56" t="e">
        <f>NA()</f>
        <v>#N/A</v>
      </c>
      <c r="F486" s="56" t="e">
        <f>NA()</f>
        <v>#N/A</v>
      </c>
      <c r="G486" s="56" t="e">
        <f>NA()</f>
        <v>#N/A</v>
      </c>
      <c r="H486" s="56" t="e">
        <f>NA()</f>
        <v>#N/A</v>
      </c>
      <c r="I486" s="56" t="e">
        <f>NA()</f>
        <v>#N/A</v>
      </c>
      <c r="J486" s="56" t="e">
        <f>NA()</f>
        <v>#N/A</v>
      </c>
      <c r="K486" s="56" t="e">
        <f>NA()</f>
        <v>#N/A</v>
      </c>
      <c r="L486" s="56" t="e">
        <f>NA()</f>
        <v>#N/A</v>
      </c>
      <c r="M486" s="56">
        <f>-capex_ship3*10^6+$M244</f>
        <v>0</v>
      </c>
      <c r="N486" s="56">
        <f>-capex_ship3*10^6+$M244+NPV(dr_lo_ship3,$N244:N244)</f>
        <v>0</v>
      </c>
      <c r="O486" s="56">
        <f>-capex_ship3*10^6+$M244+NPV(dr_lo_ship3,$N244:O244)</f>
        <v>0</v>
      </c>
      <c r="P486" s="56">
        <f>-capex_ship3*10^6+$M244+NPV(dr_lo_ship3,$N244:P244)</f>
        <v>0</v>
      </c>
      <c r="Q486" s="56">
        <f>-capex_ship3*10^6+$M244+NPV(dr_lo_ship3,$N244:Q244)</f>
        <v>0</v>
      </c>
      <c r="R486" s="56">
        <f>-capex_ship3*10^6+$M244+NPV(dr_lo_ship3,$N244:R244)</f>
        <v>0</v>
      </c>
      <c r="S486" s="56">
        <f>-capex_ship3*10^6+$M244+NPV(dr_lo_ship3,$N244:S244)</f>
        <v>0</v>
      </c>
      <c r="T486" s="56">
        <f>-capex_ship3*10^6+$M244+NPV(dr_lo_ship3,$N244:T244)</f>
        <v>0</v>
      </c>
      <c r="U486" s="56">
        <f>-capex_ship3*10^6+$M244+NPV(dr_lo_ship3,$N244:U244)</f>
        <v>0</v>
      </c>
      <c r="V486" s="56">
        <f>-capex_ship3*10^6+$M244+NPV(dr_lo_ship3,$N244:V244)</f>
        <v>0</v>
      </c>
      <c r="W486" s="56">
        <f>-capex_ship3*10^6+$M244+NPV(dr_lo_ship3,$N244:W244)</f>
        <v>0</v>
      </c>
      <c r="X486" s="56">
        <f>-capex_ship3*10^6+$M244+NPV(dr_lo_ship3,$N244:X244)</f>
        <v>0</v>
      </c>
      <c r="Y486" s="56">
        <f>-capex_ship3*10^6+$M244+NPV(dr_lo_ship3,$N244:Y244)</f>
        <v>0</v>
      </c>
      <c r="Z486" s="56">
        <f>-capex_ship3*10^6+$M244+NPV(dr_lo_ship3,$N244:Z244)</f>
        <v>0</v>
      </c>
    </row>
    <row r="487" spans="1:32" x14ac:dyDescent="0.2">
      <c r="A487" s="248"/>
      <c r="B487" s="248"/>
      <c r="C487" s="30" t="s">
        <v>18</v>
      </c>
      <c r="D487" s="60" t="e">
        <f>NA()</f>
        <v>#N/A</v>
      </c>
      <c r="E487" s="60" t="e">
        <f>NA()</f>
        <v>#N/A</v>
      </c>
      <c r="F487" s="60" t="e">
        <f>NA()</f>
        <v>#N/A</v>
      </c>
      <c r="G487" s="60" t="e">
        <f>NA()</f>
        <v>#N/A</v>
      </c>
      <c r="H487" s="60" t="e">
        <f>NA()</f>
        <v>#N/A</v>
      </c>
      <c r="I487" s="60" t="e">
        <f>NA()</f>
        <v>#N/A</v>
      </c>
      <c r="J487" s="60" t="e">
        <f>NA()</f>
        <v>#N/A</v>
      </c>
      <c r="K487" s="60" t="e">
        <f>NA()</f>
        <v>#N/A</v>
      </c>
      <c r="L487" s="60" t="e">
        <f>NA()</f>
        <v>#N/A</v>
      </c>
      <c r="M487" s="60">
        <f>-capex_ship3*10^6+$M245</f>
        <v>0</v>
      </c>
      <c r="N487" s="60">
        <f>-capex_ship3*10^6+$M245+NPV(dr_med_ship3,$N245:N245)</f>
        <v>0</v>
      </c>
      <c r="O487" s="60">
        <f>-capex_ship3*10^6+$M245+NPV(dr_med_ship3,$N245:O245)</f>
        <v>0</v>
      </c>
      <c r="P487" s="60">
        <f>-capex_ship3*10^6+$M245+NPV(dr_med_ship3,$N245:P245)</f>
        <v>0</v>
      </c>
      <c r="Q487" s="60">
        <f>-capex_ship3*10^6+$M245+NPV(dr_med_ship3,$N245:Q245)</f>
        <v>0</v>
      </c>
      <c r="R487" s="60">
        <f>-capex_ship3*10^6+$M245+NPV(dr_med_ship3,$N245:R245)</f>
        <v>0</v>
      </c>
      <c r="S487" s="60">
        <f>-capex_ship3*10^6+$M245+NPV(dr_med_ship3,$N245:S245)</f>
        <v>0</v>
      </c>
      <c r="T487" s="60">
        <f>-capex_ship3*10^6+$M245+NPV(dr_med_ship3,$N245:T245)</f>
        <v>0</v>
      </c>
      <c r="U487" s="60">
        <f>-capex_ship3*10^6+$M245+NPV(dr_med_ship3,$N245:U245)</f>
        <v>0</v>
      </c>
      <c r="V487" s="60">
        <f>-capex_ship3*10^6+$M245+NPV(dr_med_ship3,$N245:V245)</f>
        <v>0</v>
      </c>
      <c r="W487" s="60">
        <f>-capex_ship3*10^6+$M245+NPV(dr_med_ship3,$N245:W245)</f>
        <v>0</v>
      </c>
      <c r="X487" s="60">
        <f>-capex_ship3*10^6+$M245+NPV(dr_med_ship3,$N245:X245)</f>
        <v>0</v>
      </c>
      <c r="Y487" s="60">
        <f>-capex_ship3*10^6+$M245+NPV(dr_med_ship3,$N245:Y245)</f>
        <v>0</v>
      </c>
      <c r="Z487" s="60">
        <f>-capex_ship3*10^6+$M245+NPV(dr_med_ship3,$N245:Z245)</f>
        <v>0</v>
      </c>
    </row>
    <row r="488" spans="1:32" x14ac:dyDescent="0.2">
      <c r="A488" s="248"/>
      <c r="B488" s="248"/>
      <c r="C488" s="30" t="s">
        <v>19</v>
      </c>
      <c r="D488" s="63" t="e">
        <f>NA()</f>
        <v>#N/A</v>
      </c>
      <c r="E488" s="63" t="e">
        <f>NA()</f>
        <v>#N/A</v>
      </c>
      <c r="F488" s="63" t="e">
        <f>NA()</f>
        <v>#N/A</v>
      </c>
      <c r="G488" s="63" t="e">
        <f>NA()</f>
        <v>#N/A</v>
      </c>
      <c r="H488" s="63" t="e">
        <f>NA()</f>
        <v>#N/A</v>
      </c>
      <c r="I488" s="63" t="e">
        <f>NA()</f>
        <v>#N/A</v>
      </c>
      <c r="J488" s="63" t="e">
        <f>NA()</f>
        <v>#N/A</v>
      </c>
      <c r="K488" s="63" t="e">
        <f>NA()</f>
        <v>#N/A</v>
      </c>
      <c r="L488" s="63" t="e">
        <f>NA()</f>
        <v>#N/A</v>
      </c>
      <c r="M488" s="63">
        <f>-capex_ship3*10^6+$M246</f>
        <v>0</v>
      </c>
      <c r="N488" s="63">
        <f>-capex_ship3*10^6+$M246+NPV(dr_hi_ship3,$N246:N246)</f>
        <v>0</v>
      </c>
      <c r="O488" s="63">
        <f>-capex_ship3*10^6+$M246+NPV(dr_hi_ship3,$N246:O246)</f>
        <v>0</v>
      </c>
      <c r="P488" s="63">
        <f>-capex_ship3*10^6+$M246+NPV(dr_hi_ship3,$N246:P246)</f>
        <v>0</v>
      </c>
      <c r="Q488" s="63">
        <f>-capex_ship3*10^6+$M246+NPV(dr_hi_ship3,$N246:Q246)</f>
        <v>0</v>
      </c>
      <c r="R488" s="63">
        <f>-capex_ship3*10^6+$M246+NPV(dr_hi_ship3,$N246:R246)</f>
        <v>0</v>
      </c>
      <c r="S488" s="63">
        <f>-capex_ship3*10^6+$M246+NPV(dr_hi_ship3,$N246:S246)</f>
        <v>0</v>
      </c>
      <c r="T488" s="63">
        <f>-capex_ship3*10^6+$M246+NPV(dr_hi_ship3,$N246:T246)</f>
        <v>0</v>
      </c>
      <c r="U488" s="63">
        <f>-capex_ship3*10^6+$M246+NPV(dr_hi_ship3,$N246:U246)</f>
        <v>0</v>
      </c>
      <c r="V488" s="63">
        <f>-capex_ship3*10^6+$M246+NPV(dr_hi_ship3,$N246:V246)</f>
        <v>0</v>
      </c>
      <c r="W488" s="63">
        <f>-capex_ship3*10^6+$M246+NPV(dr_hi_ship3,$N246:W246)</f>
        <v>0</v>
      </c>
      <c r="X488" s="63">
        <f>-capex_ship3*10^6+$M246+NPV(dr_hi_ship3,$N246:X246)</f>
        <v>0</v>
      </c>
      <c r="Y488" s="63">
        <f>-capex_ship3*10^6+$M246+NPV(dr_hi_ship3,$N246:Y246)</f>
        <v>0</v>
      </c>
      <c r="Z488" s="63">
        <f>-capex_ship3*10^6+$M246+NPV(dr_hi_ship3,$N246:Z246)</f>
        <v>0</v>
      </c>
    </row>
    <row r="489" spans="1:32" x14ac:dyDescent="0.2">
      <c r="A489" s="248"/>
      <c r="B489" s="248">
        <f>ship4</f>
        <v>0</v>
      </c>
      <c r="C489" s="30" t="s">
        <v>17</v>
      </c>
      <c r="D489" s="56" t="e">
        <f>NA()</f>
        <v>#N/A</v>
      </c>
      <c r="E489" s="56" t="e">
        <f>NA()</f>
        <v>#N/A</v>
      </c>
      <c r="F489" s="56" t="e">
        <f>NA()</f>
        <v>#N/A</v>
      </c>
      <c r="G489" s="56" t="e">
        <f>NA()</f>
        <v>#N/A</v>
      </c>
      <c r="H489" s="56" t="e">
        <f>NA()</f>
        <v>#N/A</v>
      </c>
      <c r="I489" s="56" t="e">
        <f>NA()</f>
        <v>#N/A</v>
      </c>
      <c r="J489" s="56" t="e">
        <f>NA()</f>
        <v>#N/A</v>
      </c>
      <c r="K489" s="56" t="e">
        <f>NA()</f>
        <v>#N/A</v>
      </c>
      <c r="L489" s="56" t="e">
        <f>NA()</f>
        <v>#N/A</v>
      </c>
      <c r="M489" s="56">
        <f>-capex_ship4*10^6+$M247</f>
        <v>0</v>
      </c>
      <c r="N489" s="56">
        <f>-capex_ship4*10^6+$M247+NPV(dr_lo_ship4,$N247:N247)</f>
        <v>0</v>
      </c>
      <c r="O489" s="56">
        <f>-capex_ship4*10^6+$M247+NPV(dr_lo_ship4,$N247:O247)</f>
        <v>0</v>
      </c>
      <c r="P489" s="56">
        <f>-capex_ship4*10^6+$M247+NPV(dr_lo_ship4,$N247:P247)</f>
        <v>0</v>
      </c>
      <c r="Q489" s="56">
        <f>-capex_ship4*10^6+$M247+NPV(dr_lo_ship4,$N247:Q247)</f>
        <v>0</v>
      </c>
      <c r="R489" s="56">
        <f>-capex_ship4*10^6+$M247+NPV(dr_lo_ship4,$N247:R247)</f>
        <v>0</v>
      </c>
      <c r="S489" s="56">
        <f>-capex_ship4*10^6+$M247+NPV(dr_lo_ship4,$N247:S247)</f>
        <v>0</v>
      </c>
      <c r="T489" s="56">
        <f>-capex_ship4*10^6+$M247+NPV(dr_lo_ship4,$N247:T247)</f>
        <v>0</v>
      </c>
      <c r="U489" s="56">
        <f>-capex_ship4*10^6+$M247+NPV(dr_lo_ship4,$N247:U247)</f>
        <v>0</v>
      </c>
      <c r="V489" s="56">
        <f>-capex_ship4*10^6+$M247+NPV(dr_lo_ship4,$N247:V247)</f>
        <v>0</v>
      </c>
      <c r="W489" s="56">
        <f>-capex_ship4*10^6+$M247+NPV(dr_lo_ship4,$N247:W247)</f>
        <v>0</v>
      </c>
      <c r="X489" s="56">
        <f>-capex_ship4*10^6+$M247+NPV(dr_lo_ship4,$N247:X247)</f>
        <v>0</v>
      </c>
      <c r="Y489" s="56">
        <f>-capex_ship4*10^6+$M247+NPV(dr_lo_ship4,$N247:Y247)</f>
        <v>0</v>
      </c>
      <c r="Z489" s="56">
        <f>-capex_ship4*10^6+$M247+NPV(dr_lo_ship4,$N247:Z247)</f>
        <v>0</v>
      </c>
    </row>
    <row r="490" spans="1:32" x14ac:dyDescent="0.2">
      <c r="A490" s="248"/>
      <c r="B490" s="248"/>
      <c r="C490" s="30" t="s">
        <v>18</v>
      </c>
      <c r="D490" s="60" t="e">
        <f>NA()</f>
        <v>#N/A</v>
      </c>
      <c r="E490" s="60" t="e">
        <f>NA()</f>
        <v>#N/A</v>
      </c>
      <c r="F490" s="60" t="e">
        <f>NA()</f>
        <v>#N/A</v>
      </c>
      <c r="G490" s="60" t="e">
        <f>NA()</f>
        <v>#N/A</v>
      </c>
      <c r="H490" s="60" t="e">
        <f>NA()</f>
        <v>#N/A</v>
      </c>
      <c r="I490" s="60" t="e">
        <f>NA()</f>
        <v>#N/A</v>
      </c>
      <c r="J490" s="60" t="e">
        <f>NA()</f>
        <v>#N/A</v>
      </c>
      <c r="K490" s="60" t="e">
        <f>NA()</f>
        <v>#N/A</v>
      </c>
      <c r="L490" s="60" t="e">
        <f>NA()</f>
        <v>#N/A</v>
      </c>
      <c r="M490" s="60">
        <f>-capex_ship4*10^6+$M248</f>
        <v>0</v>
      </c>
      <c r="N490" s="60">
        <f>-capex_ship4*10^6+$M248+NPV(dr_med_ship4,$N248:N248)</f>
        <v>0</v>
      </c>
      <c r="O490" s="60">
        <f>-capex_ship4*10^6+$M248+NPV(dr_med_ship4,$N248:O248)</f>
        <v>0</v>
      </c>
      <c r="P490" s="60">
        <f>-capex_ship4*10^6+$M248+NPV(dr_med_ship4,$N248:P248)</f>
        <v>0</v>
      </c>
      <c r="Q490" s="60">
        <f>-capex_ship4*10^6+$M248+NPV(dr_med_ship4,$N248:Q248)</f>
        <v>0</v>
      </c>
      <c r="R490" s="60">
        <f>-capex_ship4*10^6+$M248+NPV(dr_med_ship4,$N248:R248)</f>
        <v>0</v>
      </c>
      <c r="S490" s="60">
        <f>-capex_ship4*10^6+$M248+NPV(dr_med_ship4,$N248:S248)</f>
        <v>0</v>
      </c>
      <c r="T490" s="60">
        <f>-capex_ship4*10^6+$M248+NPV(dr_med_ship4,$N248:T248)</f>
        <v>0</v>
      </c>
      <c r="U490" s="60">
        <f>-capex_ship4*10^6+$M248+NPV(dr_med_ship4,$N248:U248)</f>
        <v>0</v>
      </c>
      <c r="V490" s="60">
        <f>-capex_ship4*10^6+$M248+NPV(dr_med_ship4,$N248:V248)</f>
        <v>0</v>
      </c>
      <c r="W490" s="60">
        <f>-capex_ship4*10^6+$M248+NPV(dr_med_ship4,$N248:W248)</f>
        <v>0</v>
      </c>
      <c r="X490" s="60">
        <f>-capex_ship4*10^6+$M248+NPV(dr_med_ship4,$N248:X248)</f>
        <v>0</v>
      </c>
      <c r="Y490" s="60">
        <f>-capex_ship4*10^6+$M248+NPV(dr_med_ship4,$N248:Y248)</f>
        <v>0</v>
      </c>
      <c r="Z490" s="60">
        <f>-capex_ship4*10^6+$M248+NPV(dr_med_ship4,$N248:Z248)</f>
        <v>0</v>
      </c>
    </row>
    <row r="491" spans="1:32" x14ac:dyDescent="0.2">
      <c r="A491" s="248"/>
      <c r="B491" s="248"/>
      <c r="C491" s="30" t="s">
        <v>19</v>
      </c>
      <c r="D491" s="63" t="e">
        <f>NA()</f>
        <v>#N/A</v>
      </c>
      <c r="E491" s="63" t="e">
        <f>NA()</f>
        <v>#N/A</v>
      </c>
      <c r="F491" s="63" t="e">
        <f>NA()</f>
        <v>#N/A</v>
      </c>
      <c r="G491" s="63" t="e">
        <f>NA()</f>
        <v>#N/A</v>
      </c>
      <c r="H491" s="63" t="e">
        <f>NA()</f>
        <v>#N/A</v>
      </c>
      <c r="I491" s="63" t="e">
        <f>NA()</f>
        <v>#N/A</v>
      </c>
      <c r="J491" s="63" t="e">
        <f>NA()</f>
        <v>#N/A</v>
      </c>
      <c r="K491" s="63" t="e">
        <f>NA()</f>
        <v>#N/A</v>
      </c>
      <c r="L491" s="63" t="e">
        <f>NA()</f>
        <v>#N/A</v>
      </c>
      <c r="M491" s="63">
        <f>-capex_ship4*10^6+$M249</f>
        <v>0</v>
      </c>
      <c r="N491" s="63">
        <f>-capex_ship4*10^6+$M249+NPV(dr_hi_ship4,$N249:N249)</f>
        <v>0</v>
      </c>
      <c r="O491" s="63">
        <f>-capex_ship4*10^6+$M249+NPV(dr_hi_ship4,$N249:O249)</f>
        <v>0</v>
      </c>
      <c r="P491" s="63">
        <f>-capex_ship4*10^6+$M249+NPV(dr_hi_ship4,$N249:P249)</f>
        <v>0</v>
      </c>
      <c r="Q491" s="63">
        <f>-capex_ship4*10^6+$M249+NPV(dr_hi_ship4,$N249:Q249)</f>
        <v>0</v>
      </c>
      <c r="R491" s="63">
        <f>-capex_ship4*10^6+$M249+NPV(dr_hi_ship4,$N249:R249)</f>
        <v>0</v>
      </c>
      <c r="S491" s="63">
        <f>-capex_ship4*10^6+$M249+NPV(dr_hi_ship4,$N249:S249)</f>
        <v>0</v>
      </c>
      <c r="T491" s="63">
        <f>-capex_ship4*10^6+$M249+NPV(dr_hi_ship4,$N249:T249)</f>
        <v>0</v>
      </c>
      <c r="U491" s="63">
        <f>-capex_ship4*10^6+$M249+NPV(dr_hi_ship4,$N249:U249)</f>
        <v>0</v>
      </c>
      <c r="V491" s="63">
        <f>-capex_ship4*10^6+$M249+NPV(dr_hi_ship4,$N249:V249)</f>
        <v>0</v>
      </c>
      <c r="W491" s="63">
        <f>-capex_ship4*10^6+$M249+NPV(dr_hi_ship4,$N249:W249)</f>
        <v>0</v>
      </c>
      <c r="X491" s="63">
        <f>-capex_ship4*10^6+$M249+NPV(dr_hi_ship4,$N249:X249)</f>
        <v>0</v>
      </c>
      <c r="Y491" s="63">
        <f>-capex_ship4*10^6+$M249+NPV(dr_hi_ship4,$N249:Y249)</f>
        <v>0</v>
      </c>
      <c r="Z491" s="63">
        <f>-capex_ship4*10^6+$M249+NPV(dr_hi_ship4,$N249:Z249)</f>
        <v>0</v>
      </c>
    </row>
    <row r="492" spans="1:32" x14ac:dyDescent="0.2">
      <c r="A492" s="248"/>
      <c r="B492" s="248">
        <f>ship5</f>
        <v>0</v>
      </c>
      <c r="C492" s="30" t="s">
        <v>17</v>
      </c>
      <c r="D492" s="56" t="e">
        <f>NA()</f>
        <v>#N/A</v>
      </c>
      <c r="E492" s="56" t="e">
        <f>NA()</f>
        <v>#N/A</v>
      </c>
      <c r="F492" s="56" t="e">
        <f>NA()</f>
        <v>#N/A</v>
      </c>
      <c r="G492" s="56" t="e">
        <f>NA()</f>
        <v>#N/A</v>
      </c>
      <c r="H492" s="56" t="e">
        <f>NA()</f>
        <v>#N/A</v>
      </c>
      <c r="I492" s="56" t="e">
        <f>NA()</f>
        <v>#N/A</v>
      </c>
      <c r="J492" s="56" t="e">
        <f>NA()</f>
        <v>#N/A</v>
      </c>
      <c r="K492" s="56" t="e">
        <f>NA()</f>
        <v>#N/A</v>
      </c>
      <c r="L492" s="56" t="e">
        <f>NA()</f>
        <v>#N/A</v>
      </c>
      <c r="M492" s="56">
        <f>-capex_ship5*10^6+$M250</f>
        <v>0</v>
      </c>
      <c r="N492" s="56">
        <f>-capex_ship5*10^6+$M250+NPV(dr_lo_ship5,$N250:N250)</f>
        <v>0</v>
      </c>
      <c r="O492" s="56">
        <f>-capex_ship5*10^6+$M250+NPV(dr_lo_ship5,$N250:O250)</f>
        <v>0</v>
      </c>
      <c r="P492" s="56">
        <f>-capex_ship5*10^6+$M250+NPV(dr_lo_ship5,$N250:P250)</f>
        <v>0</v>
      </c>
      <c r="Q492" s="56">
        <f>-capex_ship5*10^6+$M250+NPV(dr_lo_ship5,$N250:Q250)</f>
        <v>0</v>
      </c>
      <c r="R492" s="56">
        <f>-capex_ship5*10^6+$M250+NPV(dr_lo_ship5,$N250:R250)</f>
        <v>0</v>
      </c>
      <c r="S492" s="56">
        <f>-capex_ship5*10^6+$M250+NPV(dr_lo_ship5,$N250:S250)</f>
        <v>0</v>
      </c>
      <c r="T492" s="56">
        <f>-capex_ship5*10^6+$M250+NPV(dr_lo_ship5,$N250:T250)</f>
        <v>0</v>
      </c>
      <c r="U492" s="56">
        <f>-capex_ship5*10^6+$M250+NPV(dr_lo_ship5,$N250:U250)</f>
        <v>0</v>
      </c>
      <c r="V492" s="56">
        <f>-capex_ship5*10^6+$M250+NPV(dr_lo_ship5,$N250:V250)</f>
        <v>0</v>
      </c>
      <c r="W492" s="56">
        <f>-capex_ship5*10^6+$M250+NPV(dr_lo_ship5,$N250:W250)</f>
        <v>0</v>
      </c>
      <c r="X492" s="56">
        <f>-capex_ship5*10^6+$M250+NPV(dr_lo_ship5,$N250:X250)</f>
        <v>0</v>
      </c>
      <c r="Y492" s="56">
        <f>-capex_ship5*10^6+$M250+NPV(dr_lo_ship5,$N250:Y250)</f>
        <v>0</v>
      </c>
      <c r="Z492" s="56">
        <f>-capex_ship5*10^6+$M250+NPV(dr_lo_ship5,$N250:Z250)</f>
        <v>0</v>
      </c>
    </row>
    <row r="493" spans="1:32" x14ac:dyDescent="0.2">
      <c r="A493" s="248"/>
      <c r="B493" s="248"/>
      <c r="C493" s="30" t="s">
        <v>18</v>
      </c>
      <c r="D493" s="60" t="e">
        <f>NA()</f>
        <v>#N/A</v>
      </c>
      <c r="E493" s="60" t="e">
        <f>NA()</f>
        <v>#N/A</v>
      </c>
      <c r="F493" s="60" t="e">
        <f>NA()</f>
        <v>#N/A</v>
      </c>
      <c r="G493" s="60" t="e">
        <f>NA()</f>
        <v>#N/A</v>
      </c>
      <c r="H493" s="60" t="e">
        <f>NA()</f>
        <v>#N/A</v>
      </c>
      <c r="I493" s="60" t="e">
        <f>NA()</f>
        <v>#N/A</v>
      </c>
      <c r="J493" s="60" t="e">
        <f>NA()</f>
        <v>#N/A</v>
      </c>
      <c r="K493" s="60" t="e">
        <f>NA()</f>
        <v>#N/A</v>
      </c>
      <c r="L493" s="60" t="e">
        <f>NA()</f>
        <v>#N/A</v>
      </c>
      <c r="M493" s="60">
        <f>-capex_ship5*10^6+$M251</f>
        <v>0</v>
      </c>
      <c r="N493" s="60">
        <f>-capex_ship5*10^6+$M251+NPV(dr_med_ship5,$N251:N251)</f>
        <v>0</v>
      </c>
      <c r="O493" s="60">
        <f>-capex_ship5*10^6+$M251+NPV(dr_med_ship5,$N251:O251)</f>
        <v>0</v>
      </c>
      <c r="P493" s="60">
        <f>-capex_ship5*10^6+$M251+NPV(dr_med_ship5,$N251:P251)</f>
        <v>0</v>
      </c>
      <c r="Q493" s="60">
        <f>-capex_ship5*10^6+$M251+NPV(dr_med_ship5,$N251:Q251)</f>
        <v>0</v>
      </c>
      <c r="R493" s="60">
        <f>-capex_ship5*10^6+$M251+NPV(dr_med_ship5,$N251:R251)</f>
        <v>0</v>
      </c>
      <c r="S493" s="60">
        <f>-capex_ship5*10^6+$M251+NPV(dr_med_ship5,$N251:S251)</f>
        <v>0</v>
      </c>
      <c r="T493" s="60">
        <f>-capex_ship5*10^6+$M251+NPV(dr_med_ship5,$N251:T251)</f>
        <v>0</v>
      </c>
      <c r="U493" s="60">
        <f>-capex_ship5*10^6+$M251+NPV(dr_med_ship5,$N251:U251)</f>
        <v>0</v>
      </c>
      <c r="V493" s="60">
        <f>-capex_ship5*10^6+$M251+NPV(dr_med_ship5,$N251:V251)</f>
        <v>0</v>
      </c>
      <c r="W493" s="60">
        <f>-capex_ship5*10^6+$M251+NPV(dr_med_ship5,$N251:W251)</f>
        <v>0</v>
      </c>
      <c r="X493" s="60">
        <f>-capex_ship5*10^6+$M251+NPV(dr_med_ship5,$N251:X251)</f>
        <v>0</v>
      </c>
      <c r="Y493" s="60">
        <f>-capex_ship5*10^6+$M251+NPV(dr_med_ship5,$N251:Y251)</f>
        <v>0</v>
      </c>
      <c r="Z493" s="60">
        <f>-capex_ship5*10^6+$M251+NPV(dr_med_ship5,$N251:Z251)</f>
        <v>0</v>
      </c>
    </row>
    <row r="494" spans="1:32" x14ac:dyDescent="0.2">
      <c r="A494" s="248"/>
      <c r="B494" s="248"/>
      <c r="C494" s="30" t="s">
        <v>19</v>
      </c>
      <c r="D494" s="63" t="e">
        <f>NA()</f>
        <v>#N/A</v>
      </c>
      <c r="E494" s="63" t="e">
        <f>NA()</f>
        <v>#N/A</v>
      </c>
      <c r="F494" s="63" t="e">
        <f>NA()</f>
        <v>#N/A</v>
      </c>
      <c r="G494" s="63" t="e">
        <f>NA()</f>
        <v>#N/A</v>
      </c>
      <c r="H494" s="63" t="e">
        <f>NA()</f>
        <v>#N/A</v>
      </c>
      <c r="I494" s="63" t="e">
        <f>NA()</f>
        <v>#N/A</v>
      </c>
      <c r="J494" s="63" t="e">
        <f>NA()</f>
        <v>#N/A</v>
      </c>
      <c r="K494" s="63" t="e">
        <f>NA()</f>
        <v>#N/A</v>
      </c>
      <c r="L494" s="63" t="e">
        <f>NA()</f>
        <v>#N/A</v>
      </c>
      <c r="M494" s="63">
        <f>-capex_ship5*10^6+$M252</f>
        <v>0</v>
      </c>
      <c r="N494" s="63">
        <f>-capex_ship5*10^6+$M252+NPV(dr_hi_ship5,$N252:N252)</f>
        <v>0</v>
      </c>
      <c r="O494" s="63">
        <f>-capex_ship5*10^6+$M252+NPV(dr_hi_ship5,$N252:O252)</f>
        <v>0</v>
      </c>
      <c r="P494" s="63">
        <f>-capex_ship5*10^6+$M252+NPV(dr_hi_ship5,$N252:P252)</f>
        <v>0</v>
      </c>
      <c r="Q494" s="63">
        <f>-capex_ship5*10^6+$M252+NPV(dr_hi_ship5,$N252:Q252)</f>
        <v>0</v>
      </c>
      <c r="R494" s="63">
        <f>-capex_ship5*10^6+$M252+NPV(dr_hi_ship5,$N252:R252)</f>
        <v>0</v>
      </c>
      <c r="S494" s="63">
        <f>-capex_ship5*10^6+$M252+NPV(dr_hi_ship5,$N252:S252)</f>
        <v>0</v>
      </c>
      <c r="T494" s="63">
        <f>-capex_ship5*10^6+$M252+NPV(dr_hi_ship5,$N252:T252)</f>
        <v>0</v>
      </c>
      <c r="U494" s="63">
        <f>-capex_ship5*10^6+$M252+NPV(dr_hi_ship5,$N252:U252)</f>
        <v>0</v>
      </c>
      <c r="V494" s="63">
        <f>-capex_ship5*10^6+$M252+NPV(dr_hi_ship5,$N252:V252)</f>
        <v>0</v>
      </c>
      <c r="W494" s="63">
        <f>-capex_ship5*10^6+$M252+NPV(dr_hi_ship5,$N252:W252)</f>
        <v>0</v>
      </c>
      <c r="X494" s="63">
        <f>-capex_ship5*10^6+$M252+NPV(dr_hi_ship5,$N252:X252)</f>
        <v>0</v>
      </c>
      <c r="Y494" s="63">
        <f>-capex_ship5*10^6+$M252+NPV(dr_hi_ship5,$N252:Y252)</f>
        <v>0</v>
      </c>
      <c r="Z494" s="63">
        <f>-capex_ship5*10^6+$M252+NPV(dr_hi_ship5,$N252:Z252)</f>
        <v>0</v>
      </c>
    </row>
    <row r="495" spans="1:32" x14ac:dyDescent="0.2">
      <c r="A495" s="248"/>
      <c r="B495" s="248">
        <f>ship6</f>
        <v>0</v>
      </c>
      <c r="C495" s="30" t="s">
        <v>17</v>
      </c>
      <c r="D495" s="56" t="e">
        <f>NA()</f>
        <v>#N/A</v>
      </c>
      <c r="E495" s="56" t="e">
        <f>NA()</f>
        <v>#N/A</v>
      </c>
      <c r="F495" s="56" t="e">
        <f>NA()</f>
        <v>#N/A</v>
      </c>
      <c r="G495" s="56" t="e">
        <f>NA()</f>
        <v>#N/A</v>
      </c>
      <c r="H495" s="56" t="e">
        <f>NA()</f>
        <v>#N/A</v>
      </c>
      <c r="I495" s="56" t="e">
        <f>NA()</f>
        <v>#N/A</v>
      </c>
      <c r="J495" s="56" t="e">
        <f>NA()</f>
        <v>#N/A</v>
      </c>
      <c r="K495" s="56" t="e">
        <f>NA()</f>
        <v>#N/A</v>
      </c>
      <c r="L495" s="56" t="e">
        <f>NA()</f>
        <v>#N/A</v>
      </c>
      <c r="M495" s="56">
        <f>-capex_ship6*10^6+$M253</f>
        <v>0</v>
      </c>
      <c r="N495" s="56">
        <f>-capex_ship6*10^6+$M253+NPV(dr_lo_ship6,$N253:N253)</f>
        <v>0</v>
      </c>
      <c r="O495" s="56">
        <f>-capex_ship6*10^6+$M253+NPV(dr_lo_ship6,$N253:O253)</f>
        <v>0</v>
      </c>
      <c r="P495" s="56">
        <f>-capex_ship6*10^6+$M253+NPV(dr_lo_ship6,$N253:P253)</f>
        <v>0</v>
      </c>
      <c r="Q495" s="56">
        <f>-capex_ship6*10^6+$M253+NPV(dr_lo_ship6,$N253:Q253)</f>
        <v>0</v>
      </c>
      <c r="R495" s="56">
        <f>-capex_ship6*10^6+$M253+NPV(dr_lo_ship6,$N253:R253)</f>
        <v>0</v>
      </c>
      <c r="S495" s="56">
        <f>-capex_ship6*10^6+$M253+NPV(dr_lo_ship6,$N253:S253)</f>
        <v>0</v>
      </c>
      <c r="T495" s="56">
        <f>-capex_ship6*10^6+$M253+NPV(dr_lo_ship6,$N253:T253)</f>
        <v>0</v>
      </c>
      <c r="U495" s="56">
        <f>-capex_ship6*10^6+$M253+NPV(dr_lo_ship6,$N253:U253)</f>
        <v>0</v>
      </c>
      <c r="V495" s="56">
        <f>-capex_ship6*10^6+$M253+NPV(dr_lo_ship6,$N253:V253)</f>
        <v>0</v>
      </c>
      <c r="W495" s="56">
        <f>-capex_ship6*10^6+$M253+NPV(dr_lo_ship6,$N253:W253)</f>
        <v>0</v>
      </c>
      <c r="X495" s="56">
        <f>-capex_ship6*10^6+$M253+NPV(dr_lo_ship6,$N253:X253)</f>
        <v>0</v>
      </c>
      <c r="Y495" s="56">
        <f>-capex_ship6*10^6+$M253+NPV(dr_lo_ship6,$N253:Y253)</f>
        <v>0</v>
      </c>
      <c r="Z495" s="56">
        <f>-capex_ship6*10^6+$M253+NPV(dr_lo_ship6,$N253:Z253)</f>
        <v>0</v>
      </c>
    </row>
    <row r="496" spans="1:32" x14ac:dyDescent="0.2">
      <c r="A496" s="248"/>
      <c r="B496" s="248"/>
      <c r="C496" s="30" t="s">
        <v>18</v>
      </c>
      <c r="D496" s="60" t="e">
        <f>NA()</f>
        <v>#N/A</v>
      </c>
      <c r="E496" s="60" t="e">
        <f>NA()</f>
        <v>#N/A</v>
      </c>
      <c r="F496" s="60" t="e">
        <f>NA()</f>
        <v>#N/A</v>
      </c>
      <c r="G496" s="60" t="e">
        <f>NA()</f>
        <v>#N/A</v>
      </c>
      <c r="H496" s="60" t="e">
        <f>NA()</f>
        <v>#N/A</v>
      </c>
      <c r="I496" s="60" t="e">
        <f>NA()</f>
        <v>#N/A</v>
      </c>
      <c r="J496" s="60" t="e">
        <f>NA()</f>
        <v>#N/A</v>
      </c>
      <c r="K496" s="60" t="e">
        <f>NA()</f>
        <v>#N/A</v>
      </c>
      <c r="L496" s="60" t="e">
        <f>NA()</f>
        <v>#N/A</v>
      </c>
      <c r="M496" s="60">
        <f>-capex_ship6*10^6+$M254</f>
        <v>0</v>
      </c>
      <c r="N496" s="60">
        <f>-capex_ship6*10^6+$M254+NPV(dr_med_ship6,$N254:N254)</f>
        <v>0</v>
      </c>
      <c r="O496" s="60">
        <f>-capex_ship6*10^6+$M254+NPV(dr_med_ship6,$N254:O254)</f>
        <v>0</v>
      </c>
      <c r="P496" s="60">
        <f>-capex_ship6*10^6+$M254+NPV(dr_med_ship6,$N254:P254)</f>
        <v>0</v>
      </c>
      <c r="Q496" s="60">
        <f>-capex_ship6*10^6+$M254+NPV(dr_med_ship6,$N254:Q254)</f>
        <v>0</v>
      </c>
      <c r="R496" s="60">
        <f>-capex_ship6*10^6+$M254+NPV(dr_med_ship6,$N254:R254)</f>
        <v>0</v>
      </c>
      <c r="S496" s="60">
        <f>-capex_ship6*10^6+$M254+NPV(dr_med_ship6,$N254:S254)</f>
        <v>0</v>
      </c>
      <c r="T496" s="60">
        <f>-capex_ship6*10^6+$M254+NPV(dr_med_ship6,$N254:T254)</f>
        <v>0</v>
      </c>
      <c r="U496" s="60">
        <f>-capex_ship6*10^6+$M254+NPV(dr_med_ship6,$N254:U254)</f>
        <v>0</v>
      </c>
      <c r="V496" s="60">
        <f>-capex_ship6*10^6+$M254+NPV(dr_med_ship6,$N254:V254)</f>
        <v>0</v>
      </c>
      <c r="W496" s="60">
        <f>-capex_ship6*10^6+$M254+NPV(dr_med_ship6,$N254:W254)</f>
        <v>0</v>
      </c>
      <c r="X496" s="60">
        <f>-capex_ship6*10^6+$M254+NPV(dr_med_ship6,$N254:X254)</f>
        <v>0</v>
      </c>
      <c r="Y496" s="60">
        <f>-capex_ship6*10^6+$M254+NPV(dr_med_ship6,$N254:Y254)</f>
        <v>0</v>
      </c>
      <c r="Z496" s="60">
        <f>-capex_ship6*10^6+$M254+NPV(dr_med_ship6,$N254:Z254)</f>
        <v>0</v>
      </c>
    </row>
    <row r="497" spans="1:32" x14ac:dyDescent="0.2">
      <c r="A497" s="248"/>
      <c r="B497" s="248"/>
      <c r="C497" s="30" t="s">
        <v>19</v>
      </c>
      <c r="D497" s="63" t="e">
        <f>NA()</f>
        <v>#N/A</v>
      </c>
      <c r="E497" s="63" t="e">
        <f>NA()</f>
        <v>#N/A</v>
      </c>
      <c r="F497" s="63" t="e">
        <f>NA()</f>
        <v>#N/A</v>
      </c>
      <c r="G497" s="63" t="e">
        <f>NA()</f>
        <v>#N/A</v>
      </c>
      <c r="H497" s="63" t="e">
        <f>NA()</f>
        <v>#N/A</v>
      </c>
      <c r="I497" s="63" t="e">
        <f>NA()</f>
        <v>#N/A</v>
      </c>
      <c r="J497" s="63" t="e">
        <f>NA()</f>
        <v>#N/A</v>
      </c>
      <c r="K497" s="63" t="e">
        <f>NA()</f>
        <v>#N/A</v>
      </c>
      <c r="L497" s="63" t="e">
        <f>NA()</f>
        <v>#N/A</v>
      </c>
      <c r="M497" s="63">
        <f>-capex_ship6*10^6+$M255</f>
        <v>0</v>
      </c>
      <c r="N497" s="63">
        <f>-capex_ship6*10^6+$M255+NPV(dr_hi_ship6,$N255:N255)</f>
        <v>0</v>
      </c>
      <c r="O497" s="63">
        <f>-capex_ship6*10^6+$M255+NPV(dr_hi_ship6,$N255:O255)</f>
        <v>0</v>
      </c>
      <c r="P497" s="63">
        <f>-capex_ship6*10^6+$M255+NPV(dr_hi_ship6,$N255:P255)</f>
        <v>0</v>
      </c>
      <c r="Q497" s="63">
        <f>-capex_ship6*10^6+$M255+NPV(dr_hi_ship6,$N255:Q255)</f>
        <v>0</v>
      </c>
      <c r="R497" s="63">
        <f>-capex_ship6*10^6+$M255+NPV(dr_hi_ship6,$N255:R255)</f>
        <v>0</v>
      </c>
      <c r="S497" s="63">
        <f>-capex_ship6*10^6+$M255+NPV(dr_hi_ship6,$N255:S255)</f>
        <v>0</v>
      </c>
      <c r="T497" s="63">
        <f>-capex_ship6*10^6+$M255+NPV(dr_hi_ship6,$N255:T255)</f>
        <v>0</v>
      </c>
      <c r="U497" s="63">
        <f>-capex_ship6*10^6+$M255+NPV(dr_hi_ship6,$N255:U255)</f>
        <v>0</v>
      </c>
      <c r="V497" s="63">
        <f>-capex_ship6*10^6+$M255+NPV(dr_hi_ship6,$N255:V255)</f>
        <v>0</v>
      </c>
      <c r="W497" s="63">
        <f>-capex_ship6*10^6+$M255+NPV(dr_hi_ship6,$N255:W255)</f>
        <v>0</v>
      </c>
      <c r="X497" s="63">
        <f>-capex_ship6*10^6+$M255+NPV(dr_hi_ship6,$N255:X255)</f>
        <v>0</v>
      </c>
      <c r="Y497" s="63">
        <f>-capex_ship6*10^6+$M255+NPV(dr_hi_ship6,$N255:Y255)</f>
        <v>0</v>
      </c>
      <c r="Z497" s="63">
        <f>-capex_ship6*10^6+$M255+NPV(dr_hi_ship6,$N255:Z255)</f>
        <v>0</v>
      </c>
    </row>
    <row r="498" spans="1:32" ht="12.75" customHeight="1" x14ac:dyDescent="0.2">
      <c r="A498" s="248" t="s">
        <v>138</v>
      </c>
      <c r="B498" s="248">
        <f>ship_plot</f>
        <v>0</v>
      </c>
      <c r="C498" s="30" t="s">
        <v>17</v>
      </c>
      <c r="D498" s="56" t="e">
        <f t="shared" ref="D498:Z498" si="305">IF(ship_plot=ship1,D480,IF(ship_plot=ship2,D483,IF(ship_plot=ship3,D486,IF(ship_plot=ship4,D489,IF(ship_plot=ship5,D492,IF(ship_plot=ship6,D495,"error"))))))</f>
        <v>#N/A</v>
      </c>
      <c r="E498" s="56" t="e">
        <f t="shared" si="305"/>
        <v>#N/A</v>
      </c>
      <c r="F498" s="56" t="e">
        <f t="shared" si="305"/>
        <v>#N/A</v>
      </c>
      <c r="G498" s="56" t="e">
        <f t="shared" si="305"/>
        <v>#N/A</v>
      </c>
      <c r="H498" s="56" t="e">
        <f t="shared" si="305"/>
        <v>#N/A</v>
      </c>
      <c r="I498" s="56" t="e">
        <f t="shared" si="305"/>
        <v>#N/A</v>
      </c>
      <c r="J498" s="56" t="e">
        <f t="shared" si="305"/>
        <v>#N/A</v>
      </c>
      <c r="K498" s="56" t="e">
        <f t="shared" si="305"/>
        <v>#N/A</v>
      </c>
      <c r="L498" s="56" t="e">
        <f t="shared" si="305"/>
        <v>#N/A</v>
      </c>
      <c r="M498" s="56">
        <f t="shared" si="305"/>
        <v>0</v>
      </c>
      <c r="N498" s="56">
        <f t="shared" si="305"/>
        <v>0</v>
      </c>
      <c r="O498" s="56">
        <f t="shared" si="305"/>
        <v>0</v>
      </c>
      <c r="P498" s="56">
        <f t="shared" si="305"/>
        <v>0</v>
      </c>
      <c r="Q498" s="56">
        <f t="shared" si="305"/>
        <v>0</v>
      </c>
      <c r="R498" s="56">
        <f t="shared" si="305"/>
        <v>0</v>
      </c>
      <c r="S498" s="56">
        <f t="shared" si="305"/>
        <v>0</v>
      </c>
      <c r="T498" s="56">
        <f t="shared" si="305"/>
        <v>0</v>
      </c>
      <c r="U498" s="56">
        <f t="shared" si="305"/>
        <v>0</v>
      </c>
      <c r="V498" s="56">
        <f t="shared" si="305"/>
        <v>0</v>
      </c>
      <c r="W498" s="56">
        <f t="shared" si="305"/>
        <v>0</v>
      </c>
      <c r="X498" s="56">
        <f t="shared" si="305"/>
        <v>0</v>
      </c>
      <c r="Y498" s="56">
        <f t="shared" si="305"/>
        <v>0</v>
      </c>
      <c r="Z498" s="56">
        <f t="shared" si="305"/>
        <v>0</v>
      </c>
    </row>
    <row r="499" spans="1:32" x14ac:dyDescent="0.2">
      <c r="A499" s="248"/>
      <c r="B499" s="248"/>
      <c r="C499" s="30" t="s">
        <v>18</v>
      </c>
      <c r="D499" s="60" t="e">
        <f t="shared" ref="D499:Z499" si="306">IF(ship_plot=ship1,D481,IF(ship_plot=ship2,D484,IF(ship_plot=ship3,D487,IF(ship_plot=ship4,D490,IF(ship_plot=ship5,D493,IF(ship_plot=ship6,D496,"error"))))))</f>
        <v>#N/A</v>
      </c>
      <c r="E499" s="60" t="e">
        <f t="shared" si="306"/>
        <v>#N/A</v>
      </c>
      <c r="F499" s="60" t="e">
        <f t="shared" si="306"/>
        <v>#N/A</v>
      </c>
      <c r="G499" s="60" t="e">
        <f t="shared" si="306"/>
        <v>#N/A</v>
      </c>
      <c r="H499" s="60" t="e">
        <f t="shared" si="306"/>
        <v>#N/A</v>
      </c>
      <c r="I499" s="60" t="e">
        <f t="shared" si="306"/>
        <v>#N/A</v>
      </c>
      <c r="J499" s="60" t="e">
        <f t="shared" si="306"/>
        <v>#N/A</v>
      </c>
      <c r="K499" s="60" t="e">
        <f t="shared" si="306"/>
        <v>#N/A</v>
      </c>
      <c r="L499" s="60" t="e">
        <f t="shared" si="306"/>
        <v>#N/A</v>
      </c>
      <c r="M499" s="60">
        <f t="shared" si="306"/>
        <v>0</v>
      </c>
      <c r="N499" s="60">
        <f t="shared" si="306"/>
        <v>0</v>
      </c>
      <c r="O499" s="60">
        <f t="shared" si="306"/>
        <v>0</v>
      </c>
      <c r="P499" s="60">
        <f t="shared" si="306"/>
        <v>0</v>
      </c>
      <c r="Q499" s="60">
        <f t="shared" si="306"/>
        <v>0</v>
      </c>
      <c r="R499" s="60">
        <f t="shared" si="306"/>
        <v>0</v>
      </c>
      <c r="S499" s="60">
        <f t="shared" si="306"/>
        <v>0</v>
      </c>
      <c r="T499" s="60">
        <f t="shared" si="306"/>
        <v>0</v>
      </c>
      <c r="U499" s="60">
        <f t="shared" si="306"/>
        <v>0</v>
      </c>
      <c r="V499" s="60">
        <f t="shared" si="306"/>
        <v>0</v>
      </c>
      <c r="W499" s="60">
        <f t="shared" si="306"/>
        <v>0</v>
      </c>
      <c r="X499" s="60">
        <f t="shared" si="306"/>
        <v>0</v>
      </c>
      <c r="Y499" s="60">
        <f t="shared" si="306"/>
        <v>0</v>
      </c>
      <c r="Z499" s="60">
        <f t="shared" si="306"/>
        <v>0</v>
      </c>
    </row>
    <row r="500" spans="1:32" x14ac:dyDescent="0.2">
      <c r="A500" s="248"/>
      <c r="B500" s="248"/>
      <c r="C500" s="30" t="s">
        <v>19</v>
      </c>
      <c r="D500" s="63" t="e">
        <f t="shared" ref="D500:Z500" si="307">IF(ship_plot=ship1,D482,IF(ship_plot=ship2,D485,IF(ship_plot=ship3,D488,IF(ship_plot=ship4,D491,IF(ship_plot=ship5,D494,IF(ship_plot=ship6,D497,"error"))))))</f>
        <v>#N/A</v>
      </c>
      <c r="E500" s="63" t="e">
        <f t="shared" si="307"/>
        <v>#N/A</v>
      </c>
      <c r="F500" s="63" t="e">
        <f t="shared" si="307"/>
        <v>#N/A</v>
      </c>
      <c r="G500" s="63" t="e">
        <f t="shared" si="307"/>
        <v>#N/A</v>
      </c>
      <c r="H500" s="63" t="e">
        <f t="shared" si="307"/>
        <v>#N/A</v>
      </c>
      <c r="I500" s="63" t="e">
        <f t="shared" si="307"/>
        <v>#N/A</v>
      </c>
      <c r="J500" s="63" t="e">
        <f t="shared" si="307"/>
        <v>#N/A</v>
      </c>
      <c r="K500" s="63" t="e">
        <f t="shared" si="307"/>
        <v>#N/A</v>
      </c>
      <c r="L500" s="63" t="e">
        <f t="shared" si="307"/>
        <v>#N/A</v>
      </c>
      <c r="M500" s="63">
        <f t="shared" si="307"/>
        <v>0</v>
      </c>
      <c r="N500" s="63">
        <f t="shared" si="307"/>
        <v>0</v>
      </c>
      <c r="O500" s="63">
        <f t="shared" si="307"/>
        <v>0</v>
      </c>
      <c r="P500" s="63">
        <f t="shared" si="307"/>
        <v>0</v>
      </c>
      <c r="Q500" s="63">
        <f t="shared" si="307"/>
        <v>0</v>
      </c>
      <c r="R500" s="63">
        <f t="shared" si="307"/>
        <v>0</v>
      </c>
      <c r="S500" s="63">
        <f t="shared" si="307"/>
        <v>0</v>
      </c>
      <c r="T500" s="63">
        <f t="shared" si="307"/>
        <v>0</v>
      </c>
      <c r="U500" s="63">
        <f t="shared" si="307"/>
        <v>0</v>
      </c>
      <c r="V500" s="63">
        <f t="shared" si="307"/>
        <v>0</v>
      </c>
      <c r="W500" s="63">
        <f t="shared" si="307"/>
        <v>0</v>
      </c>
      <c r="X500" s="63">
        <f t="shared" si="307"/>
        <v>0</v>
      </c>
      <c r="Y500" s="63">
        <f t="shared" si="307"/>
        <v>0</v>
      </c>
      <c r="Z500" s="63">
        <f t="shared" si="307"/>
        <v>0</v>
      </c>
    </row>
    <row r="501" spans="1:32" ht="12.75" customHeight="1" x14ac:dyDescent="0.2">
      <c r="A501" s="76" t="s">
        <v>139</v>
      </c>
      <c r="B501" s="76">
        <f>ship_plot</f>
        <v>0</v>
      </c>
      <c r="C501" s="77">
        <f>scenario_display</f>
        <v>0</v>
      </c>
      <c r="D501" s="78" t="e">
        <f t="shared" ref="D501:Z501" si="308">IF(scenario_display="Low",D498,IF(scenario_display="Medium",D499,D500))</f>
        <v>#N/A</v>
      </c>
      <c r="E501" s="78" t="e">
        <f t="shared" si="308"/>
        <v>#N/A</v>
      </c>
      <c r="F501" s="78" t="e">
        <f t="shared" si="308"/>
        <v>#N/A</v>
      </c>
      <c r="G501" s="78" t="e">
        <f t="shared" si="308"/>
        <v>#N/A</v>
      </c>
      <c r="H501" s="78" t="e">
        <f t="shared" si="308"/>
        <v>#N/A</v>
      </c>
      <c r="I501" s="78" t="e">
        <f t="shared" si="308"/>
        <v>#N/A</v>
      </c>
      <c r="J501" s="78" t="e">
        <f t="shared" si="308"/>
        <v>#N/A</v>
      </c>
      <c r="K501" s="78" t="e">
        <f t="shared" si="308"/>
        <v>#N/A</v>
      </c>
      <c r="L501" s="78" t="e">
        <f t="shared" si="308"/>
        <v>#N/A</v>
      </c>
      <c r="M501" s="78">
        <f t="shared" si="308"/>
        <v>0</v>
      </c>
      <c r="N501" s="78">
        <f t="shared" si="308"/>
        <v>0</v>
      </c>
      <c r="O501" s="78">
        <f t="shared" si="308"/>
        <v>0</v>
      </c>
      <c r="P501" s="78">
        <f t="shared" si="308"/>
        <v>0</v>
      </c>
      <c r="Q501" s="78">
        <f t="shared" si="308"/>
        <v>0</v>
      </c>
      <c r="R501" s="78">
        <f t="shared" si="308"/>
        <v>0</v>
      </c>
      <c r="S501" s="78">
        <f t="shared" si="308"/>
        <v>0</v>
      </c>
      <c r="T501" s="78">
        <f t="shared" si="308"/>
        <v>0</v>
      </c>
      <c r="U501" s="78">
        <f t="shared" si="308"/>
        <v>0</v>
      </c>
      <c r="V501" s="78">
        <f t="shared" si="308"/>
        <v>0</v>
      </c>
      <c r="W501" s="78">
        <f t="shared" si="308"/>
        <v>0</v>
      </c>
      <c r="X501" s="78">
        <f t="shared" si="308"/>
        <v>0</v>
      </c>
      <c r="Y501" s="78">
        <f t="shared" si="308"/>
        <v>0</v>
      </c>
      <c r="Z501" s="78">
        <f t="shared" si="308"/>
        <v>0</v>
      </c>
    </row>
    <row r="502" spans="1:32" x14ac:dyDescent="0.2">
      <c r="A502" s="248" t="s">
        <v>140</v>
      </c>
      <c r="B502" s="248">
        <f>ship1</f>
        <v>0</v>
      </c>
      <c r="C502" s="30" t="s">
        <v>17</v>
      </c>
      <c r="D502" s="56" t="e">
        <f>NA()</f>
        <v>#N/A</v>
      </c>
      <c r="E502" s="56" t="e">
        <f>NA()</f>
        <v>#N/A</v>
      </c>
      <c r="F502" s="56" t="e">
        <f>NA()</f>
        <v>#N/A</v>
      </c>
      <c r="G502" s="56" t="e">
        <f>NA()</f>
        <v>#N/A</v>
      </c>
      <c r="H502" s="56" t="e">
        <f>NA()</f>
        <v>#N/A</v>
      </c>
      <c r="I502" s="56" t="e">
        <f>NA()</f>
        <v>#N/A</v>
      </c>
      <c r="J502" s="56" t="e">
        <f>NA()</f>
        <v>#N/A</v>
      </c>
      <c r="K502" s="56" t="e">
        <f>NA()</f>
        <v>#N/A</v>
      </c>
      <c r="L502" s="56" t="e">
        <f>NA()</f>
        <v>#N/A</v>
      </c>
      <c r="M502" s="56" t="e">
        <f>NA()</f>
        <v>#N/A</v>
      </c>
      <c r="N502" s="56">
        <f>-capex_ship1*10^6+$N238</f>
        <v>0</v>
      </c>
      <c r="O502" s="56">
        <f>-capex_ship1*10^6+$N238+NPV(dr_lo_ship1,$O238:O238)</f>
        <v>0</v>
      </c>
      <c r="P502" s="56">
        <f>-capex_ship1*10^6+$N238+NPV(dr_lo_ship1,$O238:P238)</f>
        <v>0</v>
      </c>
      <c r="Q502" s="56">
        <f>-capex_ship1*10^6+$N238+NPV(dr_lo_ship1,$O238:Q238)</f>
        <v>0</v>
      </c>
      <c r="R502" s="56">
        <f>-capex_ship1*10^6+$N238+NPV(dr_lo_ship1,$O238:R238)</f>
        <v>0</v>
      </c>
      <c r="S502" s="56">
        <f>-capex_ship1*10^6+$N238+NPV(dr_lo_ship1,$O238:S238)</f>
        <v>0</v>
      </c>
      <c r="T502" s="56">
        <f>-capex_ship1*10^6+$N238+NPV(dr_lo_ship1,$O238:T238)</f>
        <v>0</v>
      </c>
      <c r="U502" s="56">
        <f>-capex_ship1*10^6+$N238+NPV(dr_lo_ship1,$O238:U238)</f>
        <v>0</v>
      </c>
      <c r="V502" s="56">
        <f>-capex_ship1*10^6+$N238+NPV(dr_lo_ship1,$O238:V238)</f>
        <v>0</v>
      </c>
      <c r="W502" s="56">
        <f>-capex_ship1*10^6+$N238+NPV(dr_lo_ship1,$O238:W238)</f>
        <v>0</v>
      </c>
      <c r="X502" s="56">
        <f>-capex_ship1*10^6+$N238+NPV(dr_lo_ship1,$O238:X238)</f>
        <v>0</v>
      </c>
      <c r="Y502" s="56">
        <f>-capex_ship1*10^6+$N238+NPV(dr_lo_ship1,$O238:Y238)</f>
        <v>0</v>
      </c>
      <c r="Z502" s="56">
        <f>-capex_ship1*10^6+$N238+NPV(dr_lo_ship1,$O238:Z238)</f>
        <v>0</v>
      </c>
    </row>
    <row r="503" spans="1:32" x14ac:dyDescent="0.2">
      <c r="A503" s="248"/>
      <c r="B503" s="248"/>
      <c r="C503" s="30" t="s">
        <v>18</v>
      </c>
      <c r="D503" s="60" t="e">
        <f>NA()</f>
        <v>#N/A</v>
      </c>
      <c r="E503" s="60" t="e">
        <f>NA()</f>
        <v>#N/A</v>
      </c>
      <c r="F503" s="60" t="e">
        <f>NA()</f>
        <v>#N/A</v>
      </c>
      <c r="G503" s="60" t="e">
        <f>NA()</f>
        <v>#N/A</v>
      </c>
      <c r="H503" s="60" t="e">
        <f>NA()</f>
        <v>#N/A</v>
      </c>
      <c r="I503" s="60" t="e">
        <f>NA()</f>
        <v>#N/A</v>
      </c>
      <c r="J503" s="60" t="e">
        <f>NA()</f>
        <v>#N/A</v>
      </c>
      <c r="K503" s="60" t="e">
        <f>NA()</f>
        <v>#N/A</v>
      </c>
      <c r="L503" s="60" t="e">
        <f>NA()</f>
        <v>#N/A</v>
      </c>
      <c r="M503" s="60" t="e">
        <f>NA()</f>
        <v>#N/A</v>
      </c>
      <c r="N503" s="60">
        <f>-capex_ship1*10^6+$N239</f>
        <v>0</v>
      </c>
      <c r="O503" s="60">
        <f>-capex_ship1*10^6+$N239+NPV(dr_med_ship1,$O239:O239)</f>
        <v>0</v>
      </c>
      <c r="P503" s="60">
        <f>-capex_ship1*10^6+$N239+NPV(dr_med_ship1,$O239:P239)</f>
        <v>0</v>
      </c>
      <c r="Q503" s="60">
        <f>-capex_ship1*10^6+$N239+NPV(dr_med_ship1,$O239:Q239)</f>
        <v>0</v>
      </c>
      <c r="R503" s="60">
        <f>-capex_ship1*10^6+$N239+NPV(dr_med_ship1,$O239:R239)</f>
        <v>0</v>
      </c>
      <c r="S503" s="60">
        <f>-capex_ship1*10^6+$N239+NPV(dr_med_ship1,$O239:S239)</f>
        <v>0</v>
      </c>
      <c r="T503" s="60">
        <f>-capex_ship1*10^6+$N239+NPV(dr_med_ship1,$O239:T239)</f>
        <v>0</v>
      </c>
      <c r="U503" s="60">
        <f>-capex_ship1*10^6+$N239+NPV(dr_med_ship1,$O239:U239)</f>
        <v>0</v>
      </c>
      <c r="V503" s="60">
        <f>-capex_ship1*10^6+$N239+NPV(dr_med_ship1,$O239:V239)</f>
        <v>0</v>
      </c>
      <c r="W503" s="60">
        <f>-capex_ship1*10^6+$N239+NPV(dr_med_ship1,$O239:W239)</f>
        <v>0</v>
      </c>
      <c r="X503" s="60">
        <f>-capex_ship1*10^6+$N239+NPV(dr_med_ship1,$O239:X239)</f>
        <v>0</v>
      </c>
      <c r="Y503" s="60">
        <f>-capex_ship1*10^6+$N239+NPV(dr_med_ship1,$O239:Y239)</f>
        <v>0</v>
      </c>
      <c r="Z503" s="60">
        <f>-capex_ship1*10^6+$N239+NPV(dr_med_ship1,$O239:Z239)</f>
        <v>0</v>
      </c>
    </row>
    <row r="504" spans="1:32" x14ac:dyDescent="0.2">
      <c r="A504" s="248"/>
      <c r="B504" s="248"/>
      <c r="C504" s="30" t="s">
        <v>19</v>
      </c>
      <c r="D504" s="63" t="e">
        <f>NA()</f>
        <v>#N/A</v>
      </c>
      <c r="E504" s="63" t="e">
        <f>NA()</f>
        <v>#N/A</v>
      </c>
      <c r="F504" s="63" t="e">
        <f>NA()</f>
        <v>#N/A</v>
      </c>
      <c r="G504" s="63" t="e">
        <f>NA()</f>
        <v>#N/A</v>
      </c>
      <c r="H504" s="63" t="e">
        <f>NA()</f>
        <v>#N/A</v>
      </c>
      <c r="I504" s="63" t="e">
        <f>NA()</f>
        <v>#N/A</v>
      </c>
      <c r="J504" s="63" t="e">
        <f>NA()</f>
        <v>#N/A</v>
      </c>
      <c r="K504" s="63" t="e">
        <f>NA()</f>
        <v>#N/A</v>
      </c>
      <c r="L504" s="63" t="e">
        <f>NA()</f>
        <v>#N/A</v>
      </c>
      <c r="M504" s="63" t="e">
        <f>NA()</f>
        <v>#N/A</v>
      </c>
      <c r="N504" s="63">
        <f>-capex_ship1*10^6+$N240</f>
        <v>0</v>
      </c>
      <c r="O504" s="63">
        <f>-capex_ship1*10^6+$N240+NPV(dr_hi_ship1,$O240:O240)</f>
        <v>0</v>
      </c>
      <c r="P504" s="63">
        <f>-capex_ship1*10^6+$N240+NPV(dr_hi_ship1,$O240:P240)</f>
        <v>0</v>
      </c>
      <c r="Q504" s="63">
        <f>-capex_ship1*10^6+$N240+NPV(dr_hi_ship1,$O240:Q240)</f>
        <v>0</v>
      </c>
      <c r="R504" s="63">
        <f>-capex_ship1*10^6+$N240+NPV(dr_hi_ship1,$O240:R240)</f>
        <v>0</v>
      </c>
      <c r="S504" s="63">
        <f>-capex_ship1*10^6+$N240+NPV(dr_hi_ship1,$O240:S240)</f>
        <v>0</v>
      </c>
      <c r="T504" s="63">
        <f>-capex_ship1*10^6+$N240+NPV(dr_hi_ship1,$O240:T240)</f>
        <v>0</v>
      </c>
      <c r="U504" s="63">
        <f>-capex_ship1*10^6+$N240+NPV(dr_hi_ship1,$O240:U240)</f>
        <v>0</v>
      </c>
      <c r="V504" s="63">
        <f>-capex_ship1*10^6+$N240+NPV(dr_hi_ship1,$O240:V240)</f>
        <v>0</v>
      </c>
      <c r="W504" s="63">
        <f>-capex_ship1*10^6+$N240+NPV(dr_hi_ship1,$O240:W240)</f>
        <v>0</v>
      </c>
      <c r="X504" s="63">
        <f>-capex_ship1*10^6+$N240+NPV(dr_hi_ship1,$O240:X240)</f>
        <v>0</v>
      </c>
      <c r="Y504" s="63">
        <f>-capex_ship1*10^6+$N240+NPV(dr_hi_ship1,$O240:Y240)</f>
        <v>0</v>
      </c>
      <c r="Z504" s="63">
        <f>-capex_ship1*10^6+$N240+NPV(dr_hi_ship1,$O240:Z240)</f>
        <v>0</v>
      </c>
      <c r="AF504" s="108"/>
    </row>
    <row r="505" spans="1:32" x14ac:dyDescent="0.2">
      <c r="A505" s="248"/>
      <c r="B505" s="248">
        <f>ship2</f>
        <v>0</v>
      </c>
      <c r="C505" s="30" t="s">
        <v>17</v>
      </c>
      <c r="D505" s="56" t="e">
        <f>NA()</f>
        <v>#N/A</v>
      </c>
      <c r="E505" s="56" t="e">
        <f>NA()</f>
        <v>#N/A</v>
      </c>
      <c r="F505" s="56" t="e">
        <f>NA()</f>
        <v>#N/A</v>
      </c>
      <c r="G505" s="56" t="e">
        <f>NA()</f>
        <v>#N/A</v>
      </c>
      <c r="H505" s="56" t="e">
        <f>NA()</f>
        <v>#N/A</v>
      </c>
      <c r="I505" s="56" t="e">
        <f>NA()</f>
        <v>#N/A</v>
      </c>
      <c r="J505" s="56" t="e">
        <f>NA()</f>
        <v>#N/A</v>
      </c>
      <c r="K505" s="56" t="e">
        <f>NA()</f>
        <v>#N/A</v>
      </c>
      <c r="L505" s="56" t="e">
        <f>NA()</f>
        <v>#N/A</v>
      </c>
      <c r="M505" s="56" t="e">
        <f>NA()</f>
        <v>#N/A</v>
      </c>
      <c r="N505" s="56">
        <f>-capex_ship2*10^6+$N241</f>
        <v>0</v>
      </c>
      <c r="O505" s="56">
        <f>-capex_ship2*10^6+$N241+NPV(dr_lo_ship2,$O241:O241)</f>
        <v>0</v>
      </c>
      <c r="P505" s="56">
        <f>-capex_ship2*10^6+$N241+NPV(dr_lo_ship2,$O241:P241)</f>
        <v>0</v>
      </c>
      <c r="Q505" s="56">
        <f>-capex_ship2*10^6+$N241+NPV(dr_lo_ship2,$O241:Q241)</f>
        <v>0</v>
      </c>
      <c r="R505" s="56">
        <f>-capex_ship2*10^6+$N241+NPV(dr_lo_ship2,$O241:R241)</f>
        <v>0</v>
      </c>
      <c r="S505" s="56">
        <f>-capex_ship2*10^6+$N241+NPV(dr_lo_ship2,$O241:S241)</f>
        <v>0</v>
      </c>
      <c r="T505" s="56">
        <f>-capex_ship2*10^6+$N241+NPV(dr_lo_ship2,$O241:T241)</f>
        <v>0</v>
      </c>
      <c r="U505" s="56">
        <f>-capex_ship2*10^6+$N241+NPV(dr_lo_ship2,$O241:U241)</f>
        <v>0</v>
      </c>
      <c r="V505" s="56">
        <f>-capex_ship2*10^6+$N241+NPV(dr_lo_ship2,$O241:V241)</f>
        <v>0</v>
      </c>
      <c r="W505" s="56">
        <f>-capex_ship2*10^6+$N241+NPV(dr_lo_ship2,$O241:W241)</f>
        <v>0</v>
      </c>
      <c r="X505" s="56">
        <f>-capex_ship2*10^6+$N241+NPV(dr_lo_ship2,$O241:X241)</f>
        <v>0</v>
      </c>
      <c r="Y505" s="56">
        <f>-capex_ship2*10^6+$N241+NPV(dr_lo_ship2,$O241:Y241)</f>
        <v>0</v>
      </c>
      <c r="Z505" s="56">
        <f>-capex_ship2*10^6+$N241+NPV(dr_lo_ship2,$O241:Z241)</f>
        <v>0</v>
      </c>
    </row>
    <row r="506" spans="1:32" x14ac:dyDescent="0.2">
      <c r="A506" s="248"/>
      <c r="B506" s="248"/>
      <c r="C506" s="30" t="s">
        <v>18</v>
      </c>
      <c r="D506" s="60" t="e">
        <f>NA()</f>
        <v>#N/A</v>
      </c>
      <c r="E506" s="60" t="e">
        <f>NA()</f>
        <v>#N/A</v>
      </c>
      <c r="F506" s="60" t="e">
        <f>NA()</f>
        <v>#N/A</v>
      </c>
      <c r="G506" s="60" t="e">
        <f>NA()</f>
        <v>#N/A</v>
      </c>
      <c r="H506" s="60" t="e">
        <f>NA()</f>
        <v>#N/A</v>
      </c>
      <c r="I506" s="60" t="e">
        <f>NA()</f>
        <v>#N/A</v>
      </c>
      <c r="J506" s="60" t="e">
        <f>NA()</f>
        <v>#N/A</v>
      </c>
      <c r="K506" s="60" t="e">
        <f>NA()</f>
        <v>#N/A</v>
      </c>
      <c r="L506" s="60" t="e">
        <f>NA()</f>
        <v>#N/A</v>
      </c>
      <c r="M506" s="60" t="e">
        <f>NA()</f>
        <v>#N/A</v>
      </c>
      <c r="N506" s="60">
        <f>-capex_ship2*10^6+$N242</f>
        <v>0</v>
      </c>
      <c r="O506" s="60">
        <f>-capex_ship2*10^6+$N242+NPV(dr_med_ship2,$O242:O242)</f>
        <v>0</v>
      </c>
      <c r="P506" s="60">
        <f>-capex_ship2*10^6+$N242+NPV(dr_med_ship2,$O242:P242)</f>
        <v>0</v>
      </c>
      <c r="Q506" s="60">
        <f>-capex_ship2*10^6+$N242+NPV(dr_med_ship2,$O242:Q242)</f>
        <v>0</v>
      </c>
      <c r="R506" s="60">
        <f>-capex_ship2*10^6+$N242+NPV(dr_med_ship2,$O242:R242)</f>
        <v>0</v>
      </c>
      <c r="S506" s="60">
        <f>-capex_ship2*10^6+$N242+NPV(dr_med_ship2,$O242:S242)</f>
        <v>0</v>
      </c>
      <c r="T506" s="60">
        <f>-capex_ship2*10^6+$N242+NPV(dr_med_ship2,$O242:T242)</f>
        <v>0</v>
      </c>
      <c r="U506" s="60">
        <f>-capex_ship2*10^6+$N242+NPV(dr_med_ship2,$O242:U242)</f>
        <v>0</v>
      </c>
      <c r="V506" s="60">
        <f>-capex_ship2*10^6+$N242+NPV(dr_med_ship2,$O242:V242)</f>
        <v>0</v>
      </c>
      <c r="W506" s="60">
        <f>-capex_ship2*10^6+$N242+NPV(dr_med_ship2,$O242:W242)</f>
        <v>0</v>
      </c>
      <c r="X506" s="60">
        <f>-capex_ship2*10^6+$N242+NPV(dr_med_ship2,$O242:X242)</f>
        <v>0</v>
      </c>
      <c r="Y506" s="60">
        <f>-capex_ship2*10^6+$N242+NPV(dr_med_ship2,$O242:Y242)</f>
        <v>0</v>
      </c>
      <c r="Z506" s="60">
        <f>-capex_ship2*10^6+$N242+NPV(dr_med_ship2,$O242:Z242)</f>
        <v>0</v>
      </c>
    </row>
    <row r="507" spans="1:32" x14ac:dyDescent="0.2">
      <c r="A507" s="248"/>
      <c r="B507" s="248"/>
      <c r="C507" s="30" t="s">
        <v>19</v>
      </c>
      <c r="D507" s="63" t="e">
        <f>NA()</f>
        <v>#N/A</v>
      </c>
      <c r="E507" s="63" t="e">
        <f>NA()</f>
        <v>#N/A</v>
      </c>
      <c r="F507" s="63" t="e">
        <f>NA()</f>
        <v>#N/A</v>
      </c>
      <c r="G507" s="63" t="e">
        <f>NA()</f>
        <v>#N/A</v>
      </c>
      <c r="H507" s="63" t="e">
        <f>NA()</f>
        <v>#N/A</v>
      </c>
      <c r="I507" s="63" t="e">
        <f>NA()</f>
        <v>#N/A</v>
      </c>
      <c r="J507" s="63" t="e">
        <f>NA()</f>
        <v>#N/A</v>
      </c>
      <c r="K507" s="63" t="e">
        <f>NA()</f>
        <v>#N/A</v>
      </c>
      <c r="L507" s="63" t="e">
        <f>NA()</f>
        <v>#N/A</v>
      </c>
      <c r="M507" s="63" t="e">
        <f>NA()</f>
        <v>#N/A</v>
      </c>
      <c r="N507" s="63">
        <f>-capex_ship2*10^6+$N243</f>
        <v>0</v>
      </c>
      <c r="O507" s="63">
        <f>-capex_ship2*10^6+$N243+NPV(dr_hi_ship2,$O243:O243)</f>
        <v>0</v>
      </c>
      <c r="P507" s="63">
        <f>-capex_ship2*10^6+$N243+NPV(dr_hi_ship2,$O243:P243)</f>
        <v>0</v>
      </c>
      <c r="Q507" s="63">
        <f>-capex_ship2*10^6+$N243+NPV(dr_hi_ship2,$O243:Q243)</f>
        <v>0</v>
      </c>
      <c r="R507" s="63">
        <f>-capex_ship2*10^6+$N243+NPV(dr_hi_ship2,$O243:R243)</f>
        <v>0</v>
      </c>
      <c r="S507" s="63">
        <f>-capex_ship2*10^6+$N243+NPV(dr_hi_ship2,$O243:S243)</f>
        <v>0</v>
      </c>
      <c r="T507" s="63">
        <f>-capex_ship2*10^6+$N243+NPV(dr_hi_ship2,$O243:T243)</f>
        <v>0</v>
      </c>
      <c r="U507" s="63">
        <f>-capex_ship2*10^6+$N243+NPV(dr_hi_ship2,$O243:U243)</f>
        <v>0</v>
      </c>
      <c r="V507" s="63">
        <f>-capex_ship2*10^6+$N243+NPV(dr_hi_ship2,$O243:V243)</f>
        <v>0</v>
      </c>
      <c r="W507" s="63">
        <f>-capex_ship2*10^6+$N243+NPV(dr_hi_ship2,$O243:W243)</f>
        <v>0</v>
      </c>
      <c r="X507" s="63">
        <f>-capex_ship2*10^6+$N243+NPV(dr_hi_ship2,$O243:X243)</f>
        <v>0</v>
      </c>
      <c r="Y507" s="63">
        <f>-capex_ship2*10^6+$N243+NPV(dr_hi_ship2,$O243:Y243)</f>
        <v>0</v>
      </c>
      <c r="Z507" s="63">
        <f>-capex_ship2*10^6+$N243+NPV(dr_hi_ship2,$O243:Z243)</f>
        <v>0</v>
      </c>
    </row>
    <row r="508" spans="1:32" x14ac:dyDescent="0.2">
      <c r="A508" s="248"/>
      <c r="B508" s="248">
        <f>ship3</f>
        <v>0</v>
      </c>
      <c r="C508" s="30" t="s">
        <v>17</v>
      </c>
      <c r="D508" s="56" t="e">
        <f>NA()</f>
        <v>#N/A</v>
      </c>
      <c r="E508" s="56" t="e">
        <f>NA()</f>
        <v>#N/A</v>
      </c>
      <c r="F508" s="56" t="e">
        <f>NA()</f>
        <v>#N/A</v>
      </c>
      <c r="G508" s="56" t="e">
        <f>NA()</f>
        <v>#N/A</v>
      </c>
      <c r="H508" s="56" t="e">
        <f>NA()</f>
        <v>#N/A</v>
      </c>
      <c r="I508" s="56" t="e">
        <f>NA()</f>
        <v>#N/A</v>
      </c>
      <c r="J508" s="56" t="e">
        <f>NA()</f>
        <v>#N/A</v>
      </c>
      <c r="K508" s="56" t="e">
        <f>NA()</f>
        <v>#N/A</v>
      </c>
      <c r="L508" s="56" t="e">
        <f>NA()</f>
        <v>#N/A</v>
      </c>
      <c r="M508" s="56" t="e">
        <f>NA()</f>
        <v>#N/A</v>
      </c>
      <c r="N508" s="56">
        <f>-capex_ship3*10^6+$N244</f>
        <v>0</v>
      </c>
      <c r="O508" s="56">
        <f>-capex_ship3*10^6+$N244+NPV(dr_lo_ship3,$O244:O244)</f>
        <v>0</v>
      </c>
      <c r="P508" s="56">
        <f>-capex_ship3*10^6+$N244+NPV(dr_lo_ship3,$O244:P244)</f>
        <v>0</v>
      </c>
      <c r="Q508" s="56">
        <f>-capex_ship3*10^6+$N244+NPV(dr_lo_ship3,$O244:Q244)</f>
        <v>0</v>
      </c>
      <c r="R508" s="56">
        <f>-capex_ship3*10^6+$N244+NPV(dr_lo_ship3,$O244:R244)</f>
        <v>0</v>
      </c>
      <c r="S508" s="56">
        <f>-capex_ship3*10^6+$N244+NPV(dr_lo_ship3,$O244:S244)</f>
        <v>0</v>
      </c>
      <c r="T508" s="56">
        <f>-capex_ship3*10^6+$N244+NPV(dr_lo_ship3,$O244:T244)</f>
        <v>0</v>
      </c>
      <c r="U508" s="56">
        <f>-capex_ship3*10^6+$N244+NPV(dr_lo_ship3,$O244:U244)</f>
        <v>0</v>
      </c>
      <c r="V508" s="56">
        <f>-capex_ship3*10^6+$N244+NPV(dr_lo_ship3,$O244:V244)</f>
        <v>0</v>
      </c>
      <c r="W508" s="56">
        <f>-capex_ship3*10^6+$N244+NPV(dr_lo_ship3,$O244:W244)</f>
        <v>0</v>
      </c>
      <c r="X508" s="56">
        <f>-capex_ship3*10^6+$N244+NPV(dr_lo_ship3,$O244:X244)</f>
        <v>0</v>
      </c>
      <c r="Y508" s="56">
        <f>-capex_ship3*10^6+$N244+NPV(dr_lo_ship3,$O244:Y244)</f>
        <v>0</v>
      </c>
      <c r="Z508" s="56">
        <f>-capex_ship3*10^6+$N244+NPV(dr_lo_ship3,$O244:Z244)</f>
        <v>0</v>
      </c>
    </row>
    <row r="509" spans="1:32" x14ac:dyDescent="0.2">
      <c r="A509" s="248"/>
      <c r="B509" s="248"/>
      <c r="C509" s="30" t="s">
        <v>18</v>
      </c>
      <c r="D509" s="60" t="e">
        <f>NA()</f>
        <v>#N/A</v>
      </c>
      <c r="E509" s="60" t="e">
        <f>NA()</f>
        <v>#N/A</v>
      </c>
      <c r="F509" s="60" t="e">
        <f>NA()</f>
        <v>#N/A</v>
      </c>
      <c r="G509" s="60" t="e">
        <f>NA()</f>
        <v>#N/A</v>
      </c>
      <c r="H509" s="60" t="e">
        <f>NA()</f>
        <v>#N/A</v>
      </c>
      <c r="I509" s="60" t="e">
        <f>NA()</f>
        <v>#N/A</v>
      </c>
      <c r="J509" s="60" t="e">
        <f>NA()</f>
        <v>#N/A</v>
      </c>
      <c r="K509" s="60" t="e">
        <f>NA()</f>
        <v>#N/A</v>
      </c>
      <c r="L509" s="60" t="e">
        <f>NA()</f>
        <v>#N/A</v>
      </c>
      <c r="M509" s="60" t="e">
        <f>NA()</f>
        <v>#N/A</v>
      </c>
      <c r="N509" s="60">
        <f>-capex_ship3*10^6+$N245</f>
        <v>0</v>
      </c>
      <c r="O509" s="60">
        <f>-capex_ship3*10^6+$N245+NPV(dr_med_ship3,$O245:O245)</f>
        <v>0</v>
      </c>
      <c r="P509" s="60">
        <f>-capex_ship3*10^6+$N245+NPV(dr_med_ship3,$O245:P245)</f>
        <v>0</v>
      </c>
      <c r="Q509" s="60">
        <f>-capex_ship3*10^6+$N245+NPV(dr_med_ship3,$O245:Q245)</f>
        <v>0</v>
      </c>
      <c r="R509" s="60">
        <f>-capex_ship3*10^6+$N245+NPV(dr_med_ship3,$O245:R245)</f>
        <v>0</v>
      </c>
      <c r="S509" s="60">
        <f>-capex_ship3*10^6+$N245+NPV(dr_med_ship3,$O245:S245)</f>
        <v>0</v>
      </c>
      <c r="T509" s="60">
        <f>-capex_ship3*10^6+$N245+NPV(dr_med_ship3,$O245:T245)</f>
        <v>0</v>
      </c>
      <c r="U509" s="60">
        <f>-capex_ship3*10^6+$N245+NPV(dr_med_ship3,$O245:U245)</f>
        <v>0</v>
      </c>
      <c r="V509" s="60">
        <f>-capex_ship3*10^6+$N245+NPV(dr_med_ship3,$O245:V245)</f>
        <v>0</v>
      </c>
      <c r="W509" s="60">
        <f>-capex_ship3*10^6+$N245+NPV(dr_med_ship3,$O245:W245)</f>
        <v>0</v>
      </c>
      <c r="X509" s="60">
        <f>-capex_ship3*10^6+$N245+NPV(dr_med_ship3,$O245:X245)</f>
        <v>0</v>
      </c>
      <c r="Y509" s="60">
        <f>-capex_ship3*10^6+$N245+NPV(dr_med_ship3,$O245:Y245)</f>
        <v>0</v>
      </c>
      <c r="Z509" s="60">
        <f>-capex_ship3*10^6+$N245+NPV(dr_med_ship3,$O245:Z245)</f>
        <v>0</v>
      </c>
    </row>
    <row r="510" spans="1:32" x14ac:dyDescent="0.2">
      <c r="A510" s="248"/>
      <c r="B510" s="248"/>
      <c r="C510" s="30" t="s">
        <v>19</v>
      </c>
      <c r="D510" s="63" t="e">
        <f>NA()</f>
        <v>#N/A</v>
      </c>
      <c r="E510" s="63" t="e">
        <f>NA()</f>
        <v>#N/A</v>
      </c>
      <c r="F510" s="63" t="e">
        <f>NA()</f>
        <v>#N/A</v>
      </c>
      <c r="G510" s="63" t="e">
        <f>NA()</f>
        <v>#N/A</v>
      </c>
      <c r="H510" s="63" t="e">
        <f>NA()</f>
        <v>#N/A</v>
      </c>
      <c r="I510" s="63" t="e">
        <f>NA()</f>
        <v>#N/A</v>
      </c>
      <c r="J510" s="63" t="e">
        <f>NA()</f>
        <v>#N/A</v>
      </c>
      <c r="K510" s="63" t="e">
        <f>NA()</f>
        <v>#N/A</v>
      </c>
      <c r="L510" s="63" t="e">
        <f>NA()</f>
        <v>#N/A</v>
      </c>
      <c r="M510" s="63" t="e">
        <f>NA()</f>
        <v>#N/A</v>
      </c>
      <c r="N510" s="63">
        <f>-capex_ship3*10^6+$N246</f>
        <v>0</v>
      </c>
      <c r="O510" s="63">
        <f>-capex_ship3*10^6+$N246+NPV(dr_hi_ship3,$O246:O246)</f>
        <v>0</v>
      </c>
      <c r="P510" s="63">
        <f>-capex_ship3*10^6+$N246+NPV(dr_hi_ship3,$O246:P246)</f>
        <v>0</v>
      </c>
      <c r="Q510" s="63">
        <f>-capex_ship3*10^6+$N246+NPV(dr_hi_ship3,$O246:Q246)</f>
        <v>0</v>
      </c>
      <c r="R510" s="63">
        <f>-capex_ship3*10^6+$N246+NPV(dr_hi_ship3,$O246:R246)</f>
        <v>0</v>
      </c>
      <c r="S510" s="63">
        <f>-capex_ship3*10^6+$N246+NPV(dr_hi_ship3,$O246:S246)</f>
        <v>0</v>
      </c>
      <c r="T510" s="63">
        <f>-capex_ship3*10^6+$N246+NPV(dr_hi_ship3,$O246:T246)</f>
        <v>0</v>
      </c>
      <c r="U510" s="63">
        <f>-capex_ship3*10^6+$N246+NPV(dr_hi_ship3,$O246:U246)</f>
        <v>0</v>
      </c>
      <c r="V510" s="63">
        <f>-capex_ship3*10^6+$N246+NPV(dr_hi_ship3,$O246:V246)</f>
        <v>0</v>
      </c>
      <c r="W510" s="63">
        <f>-capex_ship3*10^6+$N246+NPV(dr_hi_ship3,$O246:W246)</f>
        <v>0</v>
      </c>
      <c r="X510" s="63">
        <f>-capex_ship3*10^6+$N246+NPV(dr_hi_ship3,$O246:X246)</f>
        <v>0</v>
      </c>
      <c r="Y510" s="63">
        <f>-capex_ship3*10^6+$N246+NPV(dr_hi_ship3,$O246:Y246)</f>
        <v>0</v>
      </c>
      <c r="Z510" s="63">
        <f>-capex_ship3*10^6+$N246+NPV(dr_hi_ship3,$O246:Z246)</f>
        <v>0</v>
      </c>
    </row>
    <row r="511" spans="1:32" x14ac:dyDescent="0.2">
      <c r="A511" s="248"/>
      <c r="B511" s="248">
        <f>ship4</f>
        <v>0</v>
      </c>
      <c r="C511" s="30" t="s">
        <v>17</v>
      </c>
      <c r="D511" s="56" t="e">
        <f>NA()</f>
        <v>#N/A</v>
      </c>
      <c r="E511" s="56" t="e">
        <f>NA()</f>
        <v>#N/A</v>
      </c>
      <c r="F511" s="56" t="e">
        <f>NA()</f>
        <v>#N/A</v>
      </c>
      <c r="G511" s="56" t="e">
        <f>NA()</f>
        <v>#N/A</v>
      </c>
      <c r="H511" s="56" t="e">
        <f>NA()</f>
        <v>#N/A</v>
      </c>
      <c r="I511" s="56" t="e">
        <f>NA()</f>
        <v>#N/A</v>
      </c>
      <c r="J511" s="56" t="e">
        <f>NA()</f>
        <v>#N/A</v>
      </c>
      <c r="K511" s="56" t="e">
        <f>NA()</f>
        <v>#N/A</v>
      </c>
      <c r="L511" s="56" t="e">
        <f>NA()</f>
        <v>#N/A</v>
      </c>
      <c r="M511" s="56" t="e">
        <f>NA()</f>
        <v>#N/A</v>
      </c>
      <c r="N511" s="56">
        <f>-capex_ship4*10^6+$N247</f>
        <v>0</v>
      </c>
      <c r="O511" s="56">
        <f>-capex_ship4*10^6+$N247+NPV(dr_lo_ship4,$O247:O247)</f>
        <v>0</v>
      </c>
      <c r="P511" s="56">
        <f>-capex_ship4*10^6+$N247+NPV(dr_lo_ship4,$O247:P247)</f>
        <v>0</v>
      </c>
      <c r="Q511" s="56">
        <f>-capex_ship4*10^6+$N247+NPV(dr_lo_ship4,$O247:Q247)</f>
        <v>0</v>
      </c>
      <c r="R511" s="56">
        <f>-capex_ship4*10^6+$N247+NPV(dr_lo_ship4,$O247:R247)</f>
        <v>0</v>
      </c>
      <c r="S511" s="56">
        <f>-capex_ship4*10^6+$N247+NPV(dr_lo_ship4,$O247:S247)</f>
        <v>0</v>
      </c>
      <c r="T511" s="56">
        <f>-capex_ship4*10^6+$N247+NPV(dr_lo_ship4,$O247:T247)</f>
        <v>0</v>
      </c>
      <c r="U511" s="56">
        <f>-capex_ship4*10^6+$N247+NPV(dr_lo_ship4,$O247:U247)</f>
        <v>0</v>
      </c>
      <c r="V511" s="56">
        <f>-capex_ship4*10^6+$N247+NPV(dr_lo_ship4,$O247:V247)</f>
        <v>0</v>
      </c>
      <c r="W511" s="56">
        <f>-capex_ship4*10^6+$N247+NPV(dr_lo_ship4,$O247:W247)</f>
        <v>0</v>
      </c>
      <c r="X511" s="56">
        <f>-capex_ship4*10^6+$N247+NPV(dr_lo_ship4,$O247:X247)</f>
        <v>0</v>
      </c>
      <c r="Y511" s="56">
        <f>-capex_ship4*10^6+$N247+NPV(dr_lo_ship4,$O247:Y247)</f>
        <v>0</v>
      </c>
      <c r="Z511" s="56">
        <f>-capex_ship4*10^6+$N247+NPV(dr_lo_ship4,$O247:Z247)</f>
        <v>0</v>
      </c>
    </row>
    <row r="512" spans="1:32" x14ac:dyDescent="0.2">
      <c r="A512" s="248"/>
      <c r="B512" s="248"/>
      <c r="C512" s="30" t="s">
        <v>18</v>
      </c>
      <c r="D512" s="60" t="e">
        <f>NA()</f>
        <v>#N/A</v>
      </c>
      <c r="E512" s="60" t="e">
        <f>NA()</f>
        <v>#N/A</v>
      </c>
      <c r="F512" s="60" t="e">
        <f>NA()</f>
        <v>#N/A</v>
      </c>
      <c r="G512" s="60" t="e">
        <f>NA()</f>
        <v>#N/A</v>
      </c>
      <c r="H512" s="60" t="e">
        <f>NA()</f>
        <v>#N/A</v>
      </c>
      <c r="I512" s="60" t="e">
        <f>NA()</f>
        <v>#N/A</v>
      </c>
      <c r="J512" s="60" t="e">
        <f>NA()</f>
        <v>#N/A</v>
      </c>
      <c r="K512" s="60" t="e">
        <f>NA()</f>
        <v>#N/A</v>
      </c>
      <c r="L512" s="60" t="e">
        <f>NA()</f>
        <v>#N/A</v>
      </c>
      <c r="M512" s="60" t="e">
        <f>NA()</f>
        <v>#N/A</v>
      </c>
      <c r="N512" s="60">
        <f>-capex_ship4*10^6+$N248</f>
        <v>0</v>
      </c>
      <c r="O512" s="60">
        <f>-capex_ship4*10^6+$N248+NPV(dr_med_ship4,$O248:O248)</f>
        <v>0</v>
      </c>
      <c r="P512" s="60">
        <f>-capex_ship4*10^6+$N248+NPV(dr_med_ship4,$O248:P248)</f>
        <v>0</v>
      </c>
      <c r="Q512" s="60">
        <f>-capex_ship4*10^6+$N248+NPV(dr_med_ship4,$O248:Q248)</f>
        <v>0</v>
      </c>
      <c r="R512" s="60">
        <f>-capex_ship4*10^6+$N248+NPV(dr_med_ship4,$O248:R248)</f>
        <v>0</v>
      </c>
      <c r="S512" s="60">
        <f>-capex_ship4*10^6+$N248+NPV(dr_med_ship4,$O248:S248)</f>
        <v>0</v>
      </c>
      <c r="T512" s="60">
        <f>-capex_ship4*10^6+$N248+NPV(dr_med_ship4,$O248:T248)</f>
        <v>0</v>
      </c>
      <c r="U512" s="60">
        <f>-capex_ship4*10^6+$N248+NPV(dr_med_ship4,$O248:U248)</f>
        <v>0</v>
      </c>
      <c r="V512" s="60">
        <f>-capex_ship4*10^6+$N248+NPV(dr_med_ship4,$O248:V248)</f>
        <v>0</v>
      </c>
      <c r="W512" s="60">
        <f>-capex_ship4*10^6+$N248+NPV(dr_med_ship4,$O248:W248)</f>
        <v>0</v>
      </c>
      <c r="X512" s="60">
        <f>-capex_ship4*10^6+$N248+NPV(dr_med_ship4,$O248:X248)</f>
        <v>0</v>
      </c>
      <c r="Y512" s="60">
        <f>-capex_ship4*10^6+$N248+NPV(dr_med_ship4,$O248:Y248)</f>
        <v>0</v>
      </c>
      <c r="Z512" s="60">
        <f>-capex_ship4*10^6+$N248+NPV(dr_med_ship4,$O248:Z248)</f>
        <v>0</v>
      </c>
    </row>
    <row r="513" spans="1:26" x14ac:dyDescent="0.2">
      <c r="A513" s="248"/>
      <c r="B513" s="248"/>
      <c r="C513" s="30" t="s">
        <v>19</v>
      </c>
      <c r="D513" s="63" t="e">
        <f>NA()</f>
        <v>#N/A</v>
      </c>
      <c r="E513" s="63" t="e">
        <f>NA()</f>
        <v>#N/A</v>
      </c>
      <c r="F513" s="63" t="e">
        <f>NA()</f>
        <v>#N/A</v>
      </c>
      <c r="G513" s="63" t="e">
        <f>NA()</f>
        <v>#N/A</v>
      </c>
      <c r="H513" s="63" t="e">
        <f>NA()</f>
        <v>#N/A</v>
      </c>
      <c r="I513" s="63" t="e">
        <f>NA()</f>
        <v>#N/A</v>
      </c>
      <c r="J513" s="63" t="e">
        <f>NA()</f>
        <v>#N/A</v>
      </c>
      <c r="K513" s="63" t="e">
        <f>NA()</f>
        <v>#N/A</v>
      </c>
      <c r="L513" s="63" t="e">
        <f>NA()</f>
        <v>#N/A</v>
      </c>
      <c r="M513" s="63" t="e">
        <f>NA()</f>
        <v>#N/A</v>
      </c>
      <c r="N513" s="63">
        <f>-capex_ship4*10^6+$N249</f>
        <v>0</v>
      </c>
      <c r="O513" s="63">
        <f>-capex_ship4*10^6+$N249+NPV(dr_hi_ship4,$O249:O249)</f>
        <v>0</v>
      </c>
      <c r="P513" s="63">
        <f>-capex_ship4*10^6+$N249+NPV(dr_hi_ship4,$O249:P249)</f>
        <v>0</v>
      </c>
      <c r="Q513" s="63">
        <f>-capex_ship4*10^6+$N249+NPV(dr_hi_ship4,$O249:Q249)</f>
        <v>0</v>
      </c>
      <c r="R513" s="63">
        <f>-capex_ship4*10^6+$N249+NPV(dr_hi_ship4,$O249:R249)</f>
        <v>0</v>
      </c>
      <c r="S513" s="63">
        <f>-capex_ship4*10^6+$N249+NPV(dr_hi_ship4,$O249:S249)</f>
        <v>0</v>
      </c>
      <c r="T513" s="63">
        <f>-capex_ship4*10^6+$N249+NPV(dr_hi_ship4,$O249:T249)</f>
        <v>0</v>
      </c>
      <c r="U513" s="63">
        <f>-capex_ship4*10^6+$N249+NPV(dr_hi_ship4,$O249:U249)</f>
        <v>0</v>
      </c>
      <c r="V513" s="63">
        <f>-capex_ship4*10^6+$N249+NPV(dr_hi_ship4,$O249:V249)</f>
        <v>0</v>
      </c>
      <c r="W513" s="63">
        <f>-capex_ship4*10^6+$N249+NPV(dr_hi_ship4,$O249:W249)</f>
        <v>0</v>
      </c>
      <c r="X513" s="63">
        <f>-capex_ship4*10^6+$N249+NPV(dr_hi_ship4,$O249:X249)</f>
        <v>0</v>
      </c>
      <c r="Y513" s="63">
        <f>-capex_ship4*10^6+$N249+NPV(dr_hi_ship4,$O249:Y249)</f>
        <v>0</v>
      </c>
      <c r="Z513" s="63">
        <f>-capex_ship4*10^6+$N249+NPV(dr_hi_ship4,$O249:Z249)</f>
        <v>0</v>
      </c>
    </row>
    <row r="514" spans="1:26" x14ac:dyDescent="0.2">
      <c r="A514" s="248"/>
      <c r="B514" s="248">
        <f>ship5</f>
        <v>0</v>
      </c>
      <c r="C514" s="30" t="s">
        <v>17</v>
      </c>
      <c r="D514" s="56" t="e">
        <f>NA()</f>
        <v>#N/A</v>
      </c>
      <c r="E514" s="56" t="e">
        <f>NA()</f>
        <v>#N/A</v>
      </c>
      <c r="F514" s="56" t="e">
        <f>NA()</f>
        <v>#N/A</v>
      </c>
      <c r="G514" s="56" t="e">
        <f>NA()</f>
        <v>#N/A</v>
      </c>
      <c r="H514" s="56" t="e">
        <f>NA()</f>
        <v>#N/A</v>
      </c>
      <c r="I514" s="56" t="e">
        <f>NA()</f>
        <v>#N/A</v>
      </c>
      <c r="J514" s="56" t="e">
        <f>NA()</f>
        <v>#N/A</v>
      </c>
      <c r="K514" s="56" t="e">
        <f>NA()</f>
        <v>#N/A</v>
      </c>
      <c r="L514" s="56" t="e">
        <f>NA()</f>
        <v>#N/A</v>
      </c>
      <c r="M514" s="56" t="e">
        <f>NA()</f>
        <v>#N/A</v>
      </c>
      <c r="N514" s="56">
        <f>-capex_ship5*10^6+$N250</f>
        <v>0</v>
      </c>
      <c r="O514" s="56">
        <f>-capex_ship5*10^6+$N250+NPV(dr_lo_ship5,$O250:O250)</f>
        <v>0</v>
      </c>
      <c r="P514" s="56">
        <f>-capex_ship5*10^6+$N250+NPV(dr_lo_ship5,$O250:P250)</f>
        <v>0</v>
      </c>
      <c r="Q514" s="56">
        <f>-capex_ship5*10^6+$N250+NPV(dr_lo_ship5,$O250:Q250)</f>
        <v>0</v>
      </c>
      <c r="R514" s="56">
        <f>-capex_ship5*10^6+$N250+NPV(dr_lo_ship5,$O250:R250)</f>
        <v>0</v>
      </c>
      <c r="S514" s="56">
        <f>-capex_ship5*10^6+$N250+NPV(dr_lo_ship5,$O250:S250)</f>
        <v>0</v>
      </c>
      <c r="T514" s="56">
        <f>-capex_ship5*10^6+$N250+NPV(dr_lo_ship5,$O250:T250)</f>
        <v>0</v>
      </c>
      <c r="U514" s="56">
        <f>-capex_ship5*10^6+$N250+NPV(dr_lo_ship5,$O250:U250)</f>
        <v>0</v>
      </c>
      <c r="V514" s="56">
        <f>-capex_ship5*10^6+$N250+NPV(dr_lo_ship5,$O250:V250)</f>
        <v>0</v>
      </c>
      <c r="W514" s="56">
        <f>-capex_ship5*10^6+$N250+NPV(dr_lo_ship5,$O250:W250)</f>
        <v>0</v>
      </c>
      <c r="X514" s="56">
        <f>-capex_ship5*10^6+$N250+NPV(dr_lo_ship5,$O250:X250)</f>
        <v>0</v>
      </c>
      <c r="Y514" s="56">
        <f>-capex_ship5*10^6+$N250+NPV(dr_lo_ship5,$O250:Y250)</f>
        <v>0</v>
      </c>
      <c r="Z514" s="56">
        <f>-capex_ship5*10^6+$N250+NPV(dr_lo_ship5,$O250:Z250)</f>
        <v>0</v>
      </c>
    </row>
    <row r="515" spans="1:26" x14ac:dyDescent="0.2">
      <c r="A515" s="248"/>
      <c r="B515" s="248"/>
      <c r="C515" s="30" t="s">
        <v>18</v>
      </c>
      <c r="D515" s="60" t="e">
        <f>NA()</f>
        <v>#N/A</v>
      </c>
      <c r="E515" s="60" t="e">
        <f>NA()</f>
        <v>#N/A</v>
      </c>
      <c r="F515" s="60" t="e">
        <f>NA()</f>
        <v>#N/A</v>
      </c>
      <c r="G515" s="60" t="e">
        <f>NA()</f>
        <v>#N/A</v>
      </c>
      <c r="H515" s="60" t="e">
        <f>NA()</f>
        <v>#N/A</v>
      </c>
      <c r="I515" s="60" t="e">
        <f>NA()</f>
        <v>#N/A</v>
      </c>
      <c r="J515" s="60" t="e">
        <f>NA()</f>
        <v>#N/A</v>
      </c>
      <c r="K515" s="60" t="e">
        <f>NA()</f>
        <v>#N/A</v>
      </c>
      <c r="L515" s="60" t="e">
        <f>NA()</f>
        <v>#N/A</v>
      </c>
      <c r="M515" s="60" t="e">
        <f>NA()</f>
        <v>#N/A</v>
      </c>
      <c r="N515" s="60">
        <f>-capex_ship5*10^6+$N251</f>
        <v>0</v>
      </c>
      <c r="O515" s="60">
        <f>-capex_ship5*10^6+$N251+NPV(dr_med_ship5,$O251:O251)</f>
        <v>0</v>
      </c>
      <c r="P515" s="60">
        <f>-capex_ship5*10^6+$N251+NPV(dr_med_ship5,$O251:P251)</f>
        <v>0</v>
      </c>
      <c r="Q515" s="60">
        <f>-capex_ship5*10^6+$N251+NPV(dr_med_ship5,$O251:Q251)</f>
        <v>0</v>
      </c>
      <c r="R515" s="60">
        <f>-capex_ship5*10^6+$N251+NPV(dr_med_ship5,$O251:R251)</f>
        <v>0</v>
      </c>
      <c r="S515" s="60">
        <f>-capex_ship5*10^6+$N251+NPV(dr_med_ship5,$O251:S251)</f>
        <v>0</v>
      </c>
      <c r="T515" s="60">
        <f>-capex_ship5*10^6+$N251+NPV(dr_med_ship5,$O251:T251)</f>
        <v>0</v>
      </c>
      <c r="U515" s="60">
        <f>-capex_ship5*10^6+$N251+NPV(dr_med_ship5,$O251:U251)</f>
        <v>0</v>
      </c>
      <c r="V515" s="60">
        <f>-capex_ship5*10^6+$N251+NPV(dr_med_ship5,$O251:V251)</f>
        <v>0</v>
      </c>
      <c r="W515" s="60">
        <f>-capex_ship5*10^6+$N251+NPV(dr_med_ship5,$O251:W251)</f>
        <v>0</v>
      </c>
      <c r="X515" s="60">
        <f>-capex_ship5*10^6+$N251+NPV(dr_med_ship5,$O251:X251)</f>
        <v>0</v>
      </c>
      <c r="Y515" s="60">
        <f>-capex_ship5*10^6+$N251+NPV(dr_med_ship5,$O251:Y251)</f>
        <v>0</v>
      </c>
      <c r="Z515" s="60">
        <f>-capex_ship5*10^6+$N251+NPV(dr_med_ship5,$O251:Z251)</f>
        <v>0</v>
      </c>
    </row>
    <row r="516" spans="1:26" x14ac:dyDescent="0.2">
      <c r="A516" s="248"/>
      <c r="B516" s="248"/>
      <c r="C516" s="30" t="s">
        <v>19</v>
      </c>
      <c r="D516" s="63" t="e">
        <f>NA()</f>
        <v>#N/A</v>
      </c>
      <c r="E516" s="63" t="e">
        <f>NA()</f>
        <v>#N/A</v>
      </c>
      <c r="F516" s="63" t="e">
        <f>NA()</f>
        <v>#N/A</v>
      </c>
      <c r="G516" s="63" t="e">
        <f>NA()</f>
        <v>#N/A</v>
      </c>
      <c r="H516" s="63" t="e">
        <f>NA()</f>
        <v>#N/A</v>
      </c>
      <c r="I516" s="63" t="e">
        <f>NA()</f>
        <v>#N/A</v>
      </c>
      <c r="J516" s="63" t="e">
        <f>NA()</f>
        <v>#N/A</v>
      </c>
      <c r="K516" s="63" t="e">
        <f>NA()</f>
        <v>#N/A</v>
      </c>
      <c r="L516" s="63" t="e">
        <f>NA()</f>
        <v>#N/A</v>
      </c>
      <c r="M516" s="63" t="e">
        <f>NA()</f>
        <v>#N/A</v>
      </c>
      <c r="N516" s="63">
        <f>-capex_ship5*10^6+$N252</f>
        <v>0</v>
      </c>
      <c r="O516" s="63">
        <f>-capex_ship5*10^6+$N252+NPV(dr_hi_ship5,$O252:O252)</f>
        <v>0</v>
      </c>
      <c r="P516" s="63">
        <f>-capex_ship5*10^6+$N252+NPV(dr_hi_ship5,$O252:P252)</f>
        <v>0</v>
      </c>
      <c r="Q516" s="63">
        <f>-capex_ship5*10^6+$N252+NPV(dr_hi_ship5,$O252:Q252)</f>
        <v>0</v>
      </c>
      <c r="R516" s="63">
        <f>-capex_ship5*10^6+$N252+NPV(dr_hi_ship5,$O252:R252)</f>
        <v>0</v>
      </c>
      <c r="S516" s="63">
        <f>-capex_ship5*10^6+$N252+NPV(dr_hi_ship5,$O252:S252)</f>
        <v>0</v>
      </c>
      <c r="T516" s="63">
        <f>-capex_ship5*10^6+$N252+NPV(dr_hi_ship5,$O252:T252)</f>
        <v>0</v>
      </c>
      <c r="U516" s="63">
        <f>-capex_ship5*10^6+$N252+NPV(dr_hi_ship5,$O252:U252)</f>
        <v>0</v>
      </c>
      <c r="V516" s="63">
        <f>-capex_ship5*10^6+$N252+NPV(dr_hi_ship5,$O252:V252)</f>
        <v>0</v>
      </c>
      <c r="W516" s="63">
        <f>-capex_ship5*10^6+$N252+NPV(dr_hi_ship5,$O252:W252)</f>
        <v>0</v>
      </c>
      <c r="X516" s="63">
        <f>-capex_ship5*10^6+$N252+NPV(dr_hi_ship5,$O252:X252)</f>
        <v>0</v>
      </c>
      <c r="Y516" s="63">
        <f>-capex_ship5*10^6+$N252+NPV(dr_hi_ship5,$O252:Y252)</f>
        <v>0</v>
      </c>
      <c r="Z516" s="63">
        <f>-capex_ship5*10^6+$N252+NPV(dr_hi_ship5,$O252:Z252)</f>
        <v>0</v>
      </c>
    </row>
    <row r="517" spans="1:26" x14ac:dyDescent="0.2">
      <c r="A517" s="248"/>
      <c r="B517" s="248">
        <f>ship6</f>
        <v>0</v>
      </c>
      <c r="C517" s="30" t="s">
        <v>17</v>
      </c>
      <c r="D517" s="56" t="e">
        <f>NA()</f>
        <v>#N/A</v>
      </c>
      <c r="E517" s="56" t="e">
        <f>NA()</f>
        <v>#N/A</v>
      </c>
      <c r="F517" s="56" t="e">
        <f>NA()</f>
        <v>#N/A</v>
      </c>
      <c r="G517" s="56" t="e">
        <f>NA()</f>
        <v>#N/A</v>
      </c>
      <c r="H517" s="56" t="e">
        <f>NA()</f>
        <v>#N/A</v>
      </c>
      <c r="I517" s="56" t="e">
        <f>NA()</f>
        <v>#N/A</v>
      </c>
      <c r="J517" s="56" t="e">
        <f>NA()</f>
        <v>#N/A</v>
      </c>
      <c r="K517" s="56" t="e">
        <f>NA()</f>
        <v>#N/A</v>
      </c>
      <c r="L517" s="56" t="e">
        <f>NA()</f>
        <v>#N/A</v>
      </c>
      <c r="M517" s="56" t="e">
        <f>NA()</f>
        <v>#N/A</v>
      </c>
      <c r="N517" s="56">
        <f>-capex_ship6*10^6+$N253</f>
        <v>0</v>
      </c>
      <c r="O517" s="56">
        <f>-capex_ship6*10^6+$N253+NPV(dr_lo_ship6,$O253:O253)</f>
        <v>0</v>
      </c>
      <c r="P517" s="56">
        <f>-capex_ship6*10^6+$N253+NPV(dr_lo_ship6,$O253:P253)</f>
        <v>0</v>
      </c>
      <c r="Q517" s="56">
        <f>-capex_ship6*10^6+$N253+NPV(dr_lo_ship6,$O253:Q253)</f>
        <v>0</v>
      </c>
      <c r="R517" s="56">
        <f>-capex_ship6*10^6+$N253+NPV(dr_lo_ship6,$O253:R253)</f>
        <v>0</v>
      </c>
      <c r="S517" s="56">
        <f>-capex_ship6*10^6+$N253+NPV(dr_lo_ship6,$O253:S253)</f>
        <v>0</v>
      </c>
      <c r="T517" s="56">
        <f>-capex_ship6*10^6+$N253+NPV(dr_lo_ship6,$O253:T253)</f>
        <v>0</v>
      </c>
      <c r="U517" s="56">
        <f>-capex_ship6*10^6+$N253+NPV(dr_lo_ship6,$O253:U253)</f>
        <v>0</v>
      </c>
      <c r="V517" s="56">
        <f>-capex_ship6*10^6+$N253+NPV(dr_lo_ship6,$O253:V253)</f>
        <v>0</v>
      </c>
      <c r="W517" s="56">
        <f>-capex_ship6*10^6+$N253+NPV(dr_lo_ship6,$O253:W253)</f>
        <v>0</v>
      </c>
      <c r="X517" s="56">
        <f>-capex_ship6*10^6+$N253+NPV(dr_lo_ship6,$O253:X253)</f>
        <v>0</v>
      </c>
      <c r="Y517" s="56">
        <f>-capex_ship6*10^6+$N253+NPV(dr_lo_ship6,$O253:Y253)</f>
        <v>0</v>
      </c>
      <c r="Z517" s="56">
        <f>-capex_ship6*10^6+$N253+NPV(dr_lo_ship6,$O253:Z253)</f>
        <v>0</v>
      </c>
    </row>
    <row r="518" spans="1:26" x14ac:dyDescent="0.2">
      <c r="A518" s="248"/>
      <c r="B518" s="248"/>
      <c r="C518" s="30" t="s">
        <v>18</v>
      </c>
      <c r="D518" s="60" t="e">
        <f>NA()</f>
        <v>#N/A</v>
      </c>
      <c r="E518" s="60" t="e">
        <f>NA()</f>
        <v>#N/A</v>
      </c>
      <c r="F518" s="60" t="e">
        <f>NA()</f>
        <v>#N/A</v>
      </c>
      <c r="G518" s="60" t="e">
        <f>NA()</f>
        <v>#N/A</v>
      </c>
      <c r="H518" s="60" t="e">
        <f>NA()</f>
        <v>#N/A</v>
      </c>
      <c r="I518" s="60" t="e">
        <f>NA()</f>
        <v>#N/A</v>
      </c>
      <c r="J518" s="60" t="e">
        <f>NA()</f>
        <v>#N/A</v>
      </c>
      <c r="K518" s="60" t="e">
        <f>NA()</f>
        <v>#N/A</v>
      </c>
      <c r="L518" s="60" t="e">
        <f>NA()</f>
        <v>#N/A</v>
      </c>
      <c r="M518" s="60" t="e">
        <f>NA()</f>
        <v>#N/A</v>
      </c>
      <c r="N518" s="60">
        <f>-capex_ship6*10^6+$N254</f>
        <v>0</v>
      </c>
      <c r="O518" s="60">
        <f>-capex_ship6*10^6+$N254+NPV(dr_med_ship6,$O254:O254)</f>
        <v>0</v>
      </c>
      <c r="P518" s="60">
        <f>-capex_ship6*10^6+$N254+NPV(dr_med_ship6,$O254:P254)</f>
        <v>0</v>
      </c>
      <c r="Q518" s="60">
        <f>-capex_ship6*10^6+$N254+NPV(dr_med_ship6,$O254:Q254)</f>
        <v>0</v>
      </c>
      <c r="R518" s="60">
        <f>-capex_ship6*10^6+$N254+NPV(dr_med_ship6,$O254:R254)</f>
        <v>0</v>
      </c>
      <c r="S518" s="60">
        <f>-capex_ship6*10^6+$N254+NPV(dr_med_ship6,$O254:S254)</f>
        <v>0</v>
      </c>
      <c r="T518" s="60">
        <f>-capex_ship6*10^6+$N254+NPV(dr_med_ship6,$O254:T254)</f>
        <v>0</v>
      </c>
      <c r="U518" s="60">
        <f>-capex_ship6*10^6+$N254+NPV(dr_med_ship6,$O254:U254)</f>
        <v>0</v>
      </c>
      <c r="V518" s="60">
        <f>-capex_ship6*10^6+$N254+NPV(dr_med_ship6,$O254:V254)</f>
        <v>0</v>
      </c>
      <c r="W518" s="60">
        <f>-capex_ship6*10^6+$N254+NPV(dr_med_ship6,$O254:W254)</f>
        <v>0</v>
      </c>
      <c r="X518" s="60">
        <f>-capex_ship6*10^6+$N254+NPV(dr_med_ship6,$O254:X254)</f>
        <v>0</v>
      </c>
      <c r="Y518" s="60">
        <f>-capex_ship6*10^6+$N254+NPV(dr_med_ship6,$O254:Y254)</f>
        <v>0</v>
      </c>
      <c r="Z518" s="60">
        <f>-capex_ship6*10^6+$N254+NPV(dr_med_ship6,$O254:Z254)</f>
        <v>0</v>
      </c>
    </row>
    <row r="519" spans="1:26" x14ac:dyDescent="0.2">
      <c r="A519" s="248"/>
      <c r="B519" s="248"/>
      <c r="C519" s="30" t="s">
        <v>19</v>
      </c>
      <c r="D519" s="63" t="e">
        <f>NA()</f>
        <v>#N/A</v>
      </c>
      <c r="E519" s="63" t="e">
        <f>NA()</f>
        <v>#N/A</v>
      </c>
      <c r="F519" s="63" t="e">
        <f>NA()</f>
        <v>#N/A</v>
      </c>
      <c r="G519" s="63" t="e">
        <f>NA()</f>
        <v>#N/A</v>
      </c>
      <c r="H519" s="63" t="e">
        <f>NA()</f>
        <v>#N/A</v>
      </c>
      <c r="I519" s="63" t="e">
        <f>NA()</f>
        <v>#N/A</v>
      </c>
      <c r="J519" s="63" t="e">
        <f>NA()</f>
        <v>#N/A</v>
      </c>
      <c r="K519" s="63" t="e">
        <f>NA()</f>
        <v>#N/A</v>
      </c>
      <c r="L519" s="63" t="e">
        <f>NA()</f>
        <v>#N/A</v>
      </c>
      <c r="M519" s="63" t="e">
        <f>NA()</f>
        <v>#N/A</v>
      </c>
      <c r="N519" s="63">
        <f>-capex_ship6*10^6+$N255</f>
        <v>0</v>
      </c>
      <c r="O519" s="63">
        <f>-capex_ship6*10^6+$N255+NPV(dr_hi_ship6,$O255:O255)</f>
        <v>0</v>
      </c>
      <c r="P519" s="63">
        <f>-capex_ship6*10^6+$N255+NPV(dr_hi_ship6,$O255:P255)</f>
        <v>0</v>
      </c>
      <c r="Q519" s="63">
        <f>-capex_ship6*10^6+$N255+NPV(dr_hi_ship6,$O255:Q255)</f>
        <v>0</v>
      </c>
      <c r="R519" s="63">
        <f>-capex_ship6*10^6+$N255+NPV(dr_hi_ship6,$O255:R255)</f>
        <v>0</v>
      </c>
      <c r="S519" s="63">
        <f>-capex_ship6*10^6+$N255+NPV(dr_hi_ship6,$O255:S255)</f>
        <v>0</v>
      </c>
      <c r="T519" s="63">
        <f>-capex_ship6*10^6+$N255+NPV(dr_hi_ship6,$O255:T255)</f>
        <v>0</v>
      </c>
      <c r="U519" s="63">
        <f>-capex_ship6*10^6+$N255+NPV(dr_hi_ship6,$O255:U255)</f>
        <v>0</v>
      </c>
      <c r="V519" s="63">
        <f>-capex_ship6*10^6+$N255+NPV(dr_hi_ship6,$O255:V255)</f>
        <v>0</v>
      </c>
      <c r="W519" s="63">
        <f>-capex_ship6*10^6+$N255+NPV(dr_hi_ship6,$O255:W255)</f>
        <v>0</v>
      </c>
      <c r="X519" s="63">
        <f>-capex_ship6*10^6+$N255+NPV(dr_hi_ship6,$O255:X255)</f>
        <v>0</v>
      </c>
      <c r="Y519" s="63">
        <f>-capex_ship6*10^6+$N255+NPV(dr_hi_ship6,$O255:Y255)</f>
        <v>0</v>
      </c>
      <c r="Z519" s="63">
        <f>-capex_ship6*10^6+$N255+NPV(dr_hi_ship6,$O255:Z255)</f>
        <v>0</v>
      </c>
    </row>
    <row r="520" spans="1:26" ht="12.75" customHeight="1" x14ac:dyDescent="0.2">
      <c r="A520" s="248" t="s">
        <v>141</v>
      </c>
      <c r="B520" s="248">
        <f>ship_plot</f>
        <v>0</v>
      </c>
      <c r="C520" s="30" t="s">
        <v>17</v>
      </c>
      <c r="D520" s="56" t="e">
        <f t="shared" ref="D520:Z520" si="309">IF(ship_plot=ship1,D502,IF(ship_plot=ship2,D505,IF(ship_plot=ship3,D508,IF(ship_plot=ship4,D511,IF(ship_plot=ship5,D514,IF(ship_plot=ship6,D517,"error"))))))</f>
        <v>#N/A</v>
      </c>
      <c r="E520" s="56" t="e">
        <f t="shared" si="309"/>
        <v>#N/A</v>
      </c>
      <c r="F520" s="56" t="e">
        <f t="shared" si="309"/>
        <v>#N/A</v>
      </c>
      <c r="G520" s="56" t="e">
        <f t="shared" si="309"/>
        <v>#N/A</v>
      </c>
      <c r="H520" s="56" t="e">
        <f t="shared" si="309"/>
        <v>#N/A</v>
      </c>
      <c r="I520" s="56" t="e">
        <f t="shared" si="309"/>
        <v>#N/A</v>
      </c>
      <c r="J520" s="56" t="e">
        <f t="shared" si="309"/>
        <v>#N/A</v>
      </c>
      <c r="K520" s="56" t="e">
        <f t="shared" si="309"/>
        <v>#N/A</v>
      </c>
      <c r="L520" s="56" t="e">
        <f t="shared" si="309"/>
        <v>#N/A</v>
      </c>
      <c r="M520" s="56" t="e">
        <f t="shared" si="309"/>
        <v>#N/A</v>
      </c>
      <c r="N520" s="56">
        <f t="shared" si="309"/>
        <v>0</v>
      </c>
      <c r="O520" s="56">
        <f t="shared" si="309"/>
        <v>0</v>
      </c>
      <c r="P520" s="56">
        <f t="shared" si="309"/>
        <v>0</v>
      </c>
      <c r="Q520" s="56">
        <f t="shared" si="309"/>
        <v>0</v>
      </c>
      <c r="R520" s="56">
        <f t="shared" si="309"/>
        <v>0</v>
      </c>
      <c r="S520" s="56">
        <f t="shared" si="309"/>
        <v>0</v>
      </c>
      <c r="T520" s="56">
        <f t="shared" si="309"/>
        <v>0</v>
      </c>
      <c r="U520" s="56">
        <f t="shared" si="309"/>
        <v>0</v>
      </c>
      <c r="V520" s="56">
        <f t="shared" si="309"/>
        <v>0</v>
      </c>
      <c r="W520" s="56">
        <f t="shared" si="309"/>
        <v>0</v>
      </c>
      <c r="X520" s="56">
        <f t="shared" si="309"/>
        <v>0</v>
      </c>
      <c r="Y520" s="56">
        <f t="shared" si="309"/>
        <v>0</v>
      </c>
      <c r="Z520" s="56">
        <f t="shared" si="309"/>
        <v>0</v>
      </c>
    </row>
    <row r="521" spans="1:26" x14ac:dyDescent="0.2">
      <c r="A521" s="248"/>
      <c r="B521" s="248"/>
      <c r="C521" s="30" t="s">
        <v>18</v>
      </c>
      <c r="D521" s="60" t="e">
        <f t="shared" ref="D521:Z521" si="310">IF(ship_plot=ship1,D503,IF(ship_plot=ship2,D506,IF(ship_plot=ship3,D509,IF(ship_plot=ship4,D512,IF(ship_plot=ship5,D515,IF(ship_plot=ship6,D518,"error"))))))</f>
        <v>#N/A</v>
      </c>
      <c r="E521" s="60" t="e">
        <f t="shared" si="310"/>
        <v>#N/A</v>
      </c>
      <c r="F521" s="60" t="e">
        <f t="shared" si="310"/>
        <v>#N/A</v>
      </c>
      <c r="G521" s="60" t="e">
        <f t="shared" si="310"/>
        <v>#N/A</v>
      </c>
      <c r="H521" s="60" t="e">
        <f t="shared" si="310"/>
        <v>#N/A</v>
      </c>
      <c r="I521" s="60" t="e">
        <f t="shared" si="310"/>
        <v>#N/A</v>
      </c>
      <c r="J521" s="60" t="e">
        <f t="shared" si="310"/>
        <v>#N/A</v>
      </c>
      <c r="K521" s="60" t="e">
        <f t="shared" si="310"/>
        <v>#N/A</v>
      </c>
      <c r="L521" s="60" t="e">
        <f t="shared" si="310"/>
        <v>#N/A</v>
      </c>
      <c r="M521" s="60" t="e">
        <f t="shared" si="310"/>
        <v>#N/A</v>
      </c>
      <c r="N521" s="60">
        <f t="shared" si="310"/>
        <v>0</v>
      </c>
      <c r="O521" s="60">
        <f t="shared" si="310"/>
        <v>0</v>
      </c>
      <c r="P521" s="60">
        <f t="shared" si="310"/>
        <v>0</v>
      </c>
      <c r="Q521" s="60">
        <f t="shared" si="310"/>
        <v>0</v>
      </c>
      <c r="R521" s="60">
        <f t="shared" si="310"/>
        <v>0</v>
      </c>
      <c r="S521" s="60">
        <f t="shared" si="310"/>
        <v>0</v>
      </c>
      <c r="T521" s="60">
        <f t="shared" si="310"/>
        <v>0</v>
      </c>
      <c r="U521" s="60">
        <f t="shared" si="310"/>
        <v>0</v>
      </c>
      <c r="V521" s="60">
        <f t="shared" si="310"/>
        <v>0</v>
      </c>
      <c r="W521" s="60">
        <f t="shared" si="310"/>
        <v>0</v>
      </c>
      <c r="X521" s="60">
        <f t="shared" si="310"/>
        <v>0</v>
      </c>
      <c r="Y521" s="60">
        <f t="shared" si="310"/>
        <v>0</v>
      </c>
      <c r="Z521" s="60">
        <f t="shared" si="310"/>
        <v>0</v>
      </c>
    </row>
    <row r="522" spans="1:26" x14ac:dyDescent="0.2">
      <c r="A522" s="248"/>
      <c r="B522" s="248"/>
      <c r="C522" s="30" t="s">
        <v>19</v>
      </c>
      <c r="D522" s="63" t="e">
        <f t="shared" ref="D522:Z522" si="311">IF(ship_plot=ship1,D504,IF(ship_plot=ship2,D507,IF(ship_plot=ship3,D510,IF(ship_plot=ship4,D513,IF(ship_plot=ship5,D516,IF(ship_plot=ship6,D519,"error"))))))</f>
        <v>#N/A</v>
      </c>
      <c r="E522" s="63" t="e">
        <f t="shared" si="311"/>
        <v>#N/A</v>
      </c>
      <c r="F522" s="63" t="e">
        <f t="shared" si="311"/>
        <v>#N/A</v>
      </c>
      <c r="G522" s="63" t="e">
        <f t="shared" si="311"/>
        <v>#N/A</v>
      </c>
      <c r="H522" s="63" t="e">
        <f t="shared" si="311"/>
        <v>#N/A</v>
      </c>
      <c r="I522" s="63" t="e">
        <f t="shared" si="311"/>
        <v>#N/A</v>
      </c>
      <c r="J522" s="63" t="e">
        <f t="shared" si="311"/>
        <v>#N/A</v>
      </c>
      <c r="K522" s="63" t="e">
        <f t="shared" si="311"/>
        <v>#N/A</v>
      </c>
      <c r="L522" s="63" t="e">
        <f t="shared" si="311"/>
        <v>#N/A</v>
      </c>
      <c r="M522" s="63" t="e">
        <f t="shared" si="311"/>
        <v>#N/A</v>
      </c>
      <c r="N522" s="63">
        <f t="shared" si="311"/>
        <v>0</v>
      </c>
      <c r="O522" s="63">
        <f t="shared" si="311"/>
        <v>0</v>
      </c>
      <c r="P522" s="63">
        <f t="shared" si="311"/>
        <v>0</v>
      </c>
      <c r="Q522" s="63">
        <f t="shared" si="311"/>
        <v>0</v>
      </c>
      <c r="R522" s="63">
        <f t="shared" si="311"/>
        <v>0</v>
      </c>
      <c r="S522" s="63">
        <f t="shared" si="311"/>
        <v>0</v>
      </c>
      <c r="T522" s="63">
        <f t="shared" si="311"/>
        <v>0</v>
      </c>
      <c r="U522" s="63">
        <f t="shared" si="311"/>
        <v>0</v>
      </c>
      <c r="V522" s="63">
        <f t="shared" si="311"/>
        <v>0</v>
      </c>
      <c r="W522" s="63">
        <f t="shared" si="311"/>
        <v>0</v>
      </c>
      <c r="X522" s="63">
        <f t="shared" si="311"/>
        <v>0</v>
      </c>
      <c r="Y522" s="63">
        <f t="shared" si="311"/>
        <v>0</v>
      </c>
      <c r="Z522" s="63">
        <f t="shared" si="311"/>
        <v>0</v>
      </c>
    </row>
    <row r="523" spans="1:26" ht="12.75" customHeight="1" x14ac:dyDescent="0.2">
      <c r="A523" s="76" t="s">
        <v>142</v>
      </c>
      <c r="B523" s="76">
        <f t="shared" ref="B523:B535" si="312">ship_plot</f>
        <v>0</v>
      </c>
      <c r="C523" s="77">
        <f t="shared" ref="C523:C535" si="313">scenario_display</f>
        <v>0</v>
      </c>
      <c r="D523" s="78" t="e">
        <f t="shared" ref="D523:Z523" si="314">IF(scenario_display="Low",D520,IF(scenario_display="Medium",D521,D522))</f>
        <v>#N/A</v>
      </c>
      <c r="E523" s="78" t="e">
        <f t="shared" si="314"/>
        <v>#N/A</v>
      </c>
      <c r="F523" s="78" t="e">
        <f t="shared" si="314"/>
        <v>#N/A</v>
      </c>
      <c r="G523" s="78" t="e">
        <f t="shared" si="314"/>
        <v>#N/A</v>
      </c>
      <c r="H523" s="78" t="e">
        <f t="shared" si="314"/>
        <v>#N/A</v>
      </c>
      <c r="I523" s="78" t="e">
        <f t="shared" si="314"/>
        <v>#N/A</v>
      </c>
      <c r="J523" s="78" t="e">
        <f t="shared" si="314"/>
        <v>#N/A</v>
      </c>
      <c r="K523" s="78" t="e">
        <f t="shared" si="314"/>
        <v>#N/A</v>
      </c>
      <c r="L523" s="78" t="e">
        <f t="shared" si="314"/>
        <v>#N/A</v>
      </c>
      <c r="M523" s="78" t="e">
        <f t="shared" si="314"/>
        <v>#N/A</v>
      </c>
      <c r="N523" s="78">
        <f t="shared" si="314"/>
        <v>0</v>
      </c>
      <c r="O523" s="78">
        <f t="shared" si="314"/>
        <v>0</v>
      </c>
      <c r="P523" s="78">
        <f t="shared" si="314"/>
        <v>0</v>
      </c>
      <c r="Q523" s="78">
        <f t="shared" si="314"/>
        <v>0</v>
      </c>
      <c r="R523" s="78">
        <f t="shared" si="314"/>
        <v>0</v>
      </c>
      <c r="S523" s="78">
        <f t="shared" si="314"/>
        <v>0</v>
      </c>
      <c r="T523" s="78">
        <f t="shared" si="314"/>
        <v>0</v>
      </c>
      <c r="U523" s="78">
        <f t="shared" si="314"/>
        <v>0</v>
      </c>
      <c r="V523" s="78">
        <f t="shared" si="314"/>
        <v>0</v>
      </c>
      <c r="W523" s="78">
        <f t="shared" si="314"/>
        <v>0</v>
      </c>
      <c r="X523" s="78">
        <f t="shared" si="314"/>
        <v>0</v>
      </c>
      <c r="Y523" s="78">
        <f t="shared" si="314"/>
        <v>0</v>
      </c>
      <c r="Z523" s="78">
        <f t="shared" si="314"/>
        <v>0</v>
      </c>
    </row>
    <row r="524" spans="1:26" x14ac:dyDescent="0.2">
      <c r="A524" s="114">
        <v>2013</v>
      </c>
      <c r="B524" s="114">
        <f t="shared" si="312"/>
        <v>0</v>
      </c>
      <c r="C524" s="72">
        <f t="shared" si="313"/>
        <v>0</v>
      </c>
      <c r="D524" s="115">
        <f>D303</f>
        <v>0</v>
      </c>
      <c r="E524" s="115">
        <f>E303</f>
        <v>0</v>
      </c>
      <c r="F524" s="115">
        <f>F303</f>
        <v>0</v>
      </c>
      <c r="G524" s="115">
        <f>G303</f>
        <v>0</v>
      </c>
      <c r="H524" s="115">
        <f>H303</f>
        <v>0</v>
      </c>
      <c r="I524" s="115">
        <f t="shared" ref="I524:N524" si="315">I303</f>
        <v>0</v>
      </c>
      <c r="J524" s="115">
        <f t="shared" si="315"/>
        <v>0</v>
      </c>
      <c r="K524" s="115">
        <f t="shared" si="315"/>
        <v>0</v>
      </c>
      <c r="L524" s="115">
        <f t="shared" si="315"/>
        <v>0</v>
      </c>
      <c r="M524" s="115">
        <f t="shared" si="315"/>
        <v>0</v>
      </c>
      <c r="N524" s="115">
        <f t="shared" si="315"/>
        <v>0</v>
      </c>
      <c r="O524" s="115">
        <f t="shared" ref="O524:Z524" si="316">O303</f>
        <v>0</v>
      </c>
      <c r="P524" s="115">
        <f t="shared" si="316"/>
        <v>0</v>
      </c>
      <c r="Q524" s="115">
        <f t="shared" si="316"/>
        <v>0</v>
      </c>
      <c r="R524" s="115">
        <f t="shared" si="316"/>
        <v>0</v>
      </c>
      <c r="S524" s="115">
        <f t="shared" si="316"/>
        <v>0</v>
      </c>
      <c r="T524" s="115">
        <f t="shared" si="316"/>
        <v>0</v>
      </c>
      <c r="U524" s="115">
        <f t="shared" si="316"/>
        <v>0</v>
      </c>
      <c r="V524" s="115">
        <f t="shared" si="316"/>
        <v>0</v>
      </c>
      <c r="W524" s="115">
        <f t="shared" si="316"/>
        <v>0</v>
      </c>
      <c r="X524" s="115">
        <f t="shared" si="316"/>
        <v>0</v>
      </c>
      <c r="Y524" s="115">
        <f t="shared" si="316"/>
        <v>0</v>
      </c>
      <c r="Z524" s="115">
        <f t="shared" si="316"/>
        <v>0</v>
      </c>
    </row>
    <row r="525" spans="1:26" x14ac:dyDescent="0.2">
      <c r="A525" s="114">
        <v>2014</v>
      </c>
      <c r="B525" s="114">
        <f t="shared" si="312"/>
        <v>0</v>
      </c>
      <c r="C525" s="72">
        <f t="shared" si="313"/>
        <v>0</v>
      </c>
      <c r="D525" s="115" t="e">
        <f t="shared" ref="D525:I525" si="317">D325</f>
        <v>#N/A</v>
      </c>
      <c r="E525" s="115">
        <f t="shared" si="317"/>
        <v>0</v>
      </c>
      <c r="F525" s="115">
        <f t="shared" si="317"/>
        <v>0</v>
      </c>
      <c r="G525" s="115">
        <f t="shared" si="317"/>
        <v>0</v>
      </c>
      <c r="H525" s="115">
        <f t="shared" si="317"/>
        <v>0</v>
      </c>
      <c r="I525" s="115">
        <f t="shared" si="317"/>
        <v>0</v>
      </c>
      <c r="J525" s="115">
        <f t="shared" ref="J525:Z525" si="318">J325</f>
        <v>0</v>
      </c>
      <c r="K525" s="115">
        <f t="shared" si="318"/>
        <v>0</v>
      </c>
      <c r="L525" s="115">
        <f t="shared" si="318"/>
        <v>0</v>
      </c>
      <c r="M525" s="115">
        <f t="shared" si="318"/>
        <v>0</v>
      </c>
      <c r="N525" s="115">
        <f t="shared" si="318"/>
        <v>0</v>
      </c>
      <c r="O525" s="115">
        <f t="shared" si="318"/>
        <v>0</v>
      </c>
      <c r="P525" s="115">
        <f t="shared" si="318"/>
        <v>0</v>
      </c>
      <c r="Q525" s="115">
        <f t="shared" si="318"/>
        <v>0</v>
      </c>
      <c r="R525" s="115">
        <f t="shared" si="318"/>
        <v>0</v>
      </c>
      <c r="S525" s="115">
        <f t="shared" si="318"/>
        <v>0</v>
      </c>
      <c r="T525" s="115">
        <f t="shared" si="318"/>
        <v>0</v>
      </c>
      <c r="U525" s="115">
        <f t="shared" si="318"/>
        <v>0</v>
      </c>
      <c r="V525" s="115">
        <f t="shared" si="318"/>
        <v>0</v>
      </c>
      <c r="W525" s="115">
        <f t="shared" si="318"/>
        <v>0</v>
      </c>
      <c r="X525" s="115">
        <f t="shared" si="318"/>
        <v>0</v>
      </c>
      <c r="Y525" s="115">
        <f t="shared" si="318"/>
        <v>0</v>
      </c>
      <c r="Z525" s="115">
        <f t="shared" si="318"/>
        <v>0</v>
      </c>
    </row>
    <row r="526" spans="1:26" x14ac:dyDescent="0.2">
      <c r="A526" s="114">
        <v>2015</v>
      </c>
      <c r="B526" s="114">
        <f t="shared" si="312"/>
        <v>0</v>
      </c>
      <c r="C526" s="72">
        <f t="shared" si="313"/>
        <v>0</v>
      </c>
      <c r="D526" s="115" t="e">
        <f t="shared" ref="D526:I526" si="319">D347</f>
        <v>#N/A</v>
      </c>
      <c r="E526" s="115" t="e">
        <f t="shared" si="319"/>
        <v>#N/A</v>
      </c>
      <c r="F526" s="115">
        <f t="shared" si="319"/>
        <v>0</v>
      </c>
      <c r="G526" s="115">
        <f t="shared" si="319"/>
        <v>0</v>
      </c>
      <c r="H526" s="115">
        <f t="shared" si="319"/>
        <v>0</v>
      </c>
      <c r="I526" s="115">
        <f t="shared" si="319"/>
        <v>0</v>
      </c>
      <c r="J526" s="115">
        <f t="shared" ref="J526:Z526" si="320">J347</f>
        <v>0</v>
      </c>
      <c r="K526" s="115">
        <f t="shared" si="320"/>
        <v>0</v>
      </c>
      <c r="L526" s="115">
        <f t="shared" si="320"/>
        <v>0</v>
      </c>
      <c r="M526" s="115">
        <f t="shared" si="320"/>
        <v>0</v>
      </c>
      <c r="N526" s="115">
        <f t="shared" si="320"/>
        <v>0</v>
      </c>
      <c r="O526" s="115">
        <f t="shared" si="320"/>
        <v>0</v>
      </c>
      <c r="P526" s="115">
        <f t="shared" si="320"/>
        <v>0</v>
      </c>
      <c r="Q526" s="115">
        <f t="shared" si="320"/>
        <v>0</v>
      </c>
      <c r="R526" s="115">
        <f t="shared" si="320"/>
        <v>0</v>
      </c>
      <c r="S526" s="115">
        <f t="shared" si="320"/>
        <v>0</v>
      </c>
      <c r="T526" s="115">
        <f t="shared" si="320"/>
        <v>0</v>
      </c>
      <c r="U526" s="115">
        <f t="shared" si="320"/>
        <v>0</v>
      </c>
      <c r="V526" s="115">
        <f t="shared" si="320"/>
        <v>0</v>
      </c>
      <c r="W526" s="115">
        <f t="shared" si="320"/>
        <v>0</v>
      </c>
      <c r="X526" s="115">
        <f t="shared" si="320"/>
        <v>0</v>
      </c>
      <c r="Y526" s="115">
        <f t="shared" si="320"/>
        <v>0</v>
      </c>
      <c r="Z526" s="115">
        <f t="shared" si="320"/>
        <v>0</v>
      </c>
    </row>
    <row r="527" spans="1:26" x14ac:dyDescent="0.2">
      <c r="A527" s="114">
        <v>2016</v>
      </c>
      <c r="B527" s="114">
        <f t="shared" si="312"/>
        <v>0</v>
      </c>
      <c r="C527" s="72">
        <f t="shared" si="313"/>
        <v>0</v>
      </c>
      <c r="D527" s="115" t="e">
        <f t="shared" ref="D527:I527" si="321">D369</f>
        <v>#N/A</v>
      </c>
      <c r="E527" s="115" t="e">
        <f t="shared" si="321"/>
        <v>#N/A</v>
      </c>
      <c r="F527" s="115" t="e">
        <f t="shared" si="321"/>
        <v>#N/A</v>
      </c>
      <c r="G527" s="115">
        <f t="shared" si="321"/>
        <v>0</v>
      </c>
      <c r="H527" s="115">
        <f t="shared" si="321"/>
        <v>0</v>
      </c>
      <c r="I527" s="115">
        <f t="shared" si="321"/>
        <v>0</v>
      </c>
      <c r="J527" s="115">
        <f t="shared" ref="J527:Z527" si="322">J369</f>
        <v>0</v>
      </c>
      <c r="K527" s="115">
        <f t="shared" si="322"/>
        <v>0</v>
      </c>
      <c r="L527" s="115">
        <f t="shared" si="322"/>
        <v>0</v>
      </c>
      <c r="M527" s="115">
        <f t="shared" si="322"/>
        <v>0</v>
      </c>
      <c r="N527" s="115">
        <f t="shared" si="322"/>
        <v>0</v>
      </c>
      <c r="O527" s="115">
        <f t="shared" si="322"/>
        <v>0</v>
      </c>
      <c r="P527" s="115">
        <f t="shared" si="322"/>
        <v>0</v>
      </c>
      <c r="Q527" s="115">
        <f t="shared" si="322"/>
        <v>0</v>
      </c>
      <c r="R527" s="115">
        <f t="shared" si="322"/>
        <v>0</v>
      </c>
      <c r="S527" s="115">
        <f t="shared" si="322"/>
        <v>0</v>
      </c>
      <c r="T527" s="115">
        <f t="shared" si="322"/>
        <v>0</v>
      </c>
      <c r="U527" s="115">
        <f t="shared" si="322"/>
        <v>0</v>
      </c>
      <c r="V527" s="115">
        <f t="shared" si="322"/>
        <v>0</v>
      </c>
      <c r="W527" s="115">
        <f t="shared" si="322"/>
        <v>0</v>
      </c>
      <c r="X527" s="115">
        <f t="shared" si="322"/>
        <v>0</v>
      </c>
      <c r="Y527" s="115">
        <f t="shared" si="322"/>
        <v>0</v>
      </c>
      <c r="Z527" s="115">
        <f t="shared" si="322"/>
        <v>0</v>
      </c>
    </row>
    <row r="528" spans="1:26" x14ac:dyDescent="0.2">
      <c r="A528" s="114">
        <v>2017</v>
      </c>
      <c r="B528" s="114">
        <f t="shared" si="312"/>
        <v>0</v>
      </c>
      <c r="C528" s="72">
        <f t="shared" si="313"/>
        <v>0</v>
      </c>
      <c r="D528" s="115" t="e">
        <f t="shared" ref="D528:I528" si="323">D391</f>
        <v>#N/A</v>
      </c>
      <c r="E528" s="115" t="e">
        <f t="shared" si="323"/>
        <v>#N/A</v>
      </c>
      <c r="F528" s="115" t="e">
        <f t="shared" si="323"/>
        <v>#N/A</v>
      </c>
      <c r="G528" s="115" t="e">
        <f t="shared" si="323"/>
        <v>#N/A</v>
      </c>
      <c r="H528" s="115">
        <f t="shared" si="323"/>
        <v>0</v>
      </c>
      <c r="I528" s="115">
        <f t="shared" si="323"/>
        <v>0</v>
      </c>
      <c r="J528" s="115">
        <f t="shared" ref="J528:Z528" si="324">J391</f>
        <v>0</v>
      </c>
      <c r="K528" s="115">
        <f t="shared" si="324"/>
        <v>0</v>
      </c>
      <c r="L528" s="115">
        <f t="shared" si="324"/>
        <v>0</v>
      </c>
      <c r="M528" s="115">
        <f t="shared" si="324"/>
        <v>0</v>
      </c>
      <c r="N528" s="115">
        <f t="shared" si="324"/>
        <v>0</v>
      </c>
      <c r="O528" s="115">
        <f t="shared" si="324"/>
        <v>0</v>
      </c>
      <c r="P528" s="115">
        <f t="shared" si="324"/>
        <v>0</v>
      </c>
      <c r="Q528" s="115">
        <f t="shared" si="324"/>
        <v>0</v>
      </c>
      <c r="R528" s="115">
        <f t="shared" si="324"/>
        <v>0</v>
      </c>
      <c r="S528" s="115">
        <f t="shared" si="324"/>
        <v>0</v>
      </c>
      <c r="T528" s="115">
        <f t="shared" si="324"/>
        <v>0</v>
      </c>
      <c r="U528" s="115">
        <f t="shared" si="324"/>
        <v>0</v>
      </c>
      <c r="V528" s="115">
        <f t="shared" si="324"/>
        <v>0</v>
      </c>
      <c r="W528" s="115">
        <f t="shared" si="324"/>
        <v>0</v>
      </c>
      <c r="X528" s="115">
        <f t="shared" si="324"/>
        <v>0</v>
      </c>
      <c r="Y528" s="115">
        <f t="shared" si="324"/>
        <v>0</v>
      </c>
      <c r="Z528" s="115">
        <f t="shared" si="324"/>
        <v>0</v>
      </c>
    </row>
    <row r="529" spans="1:26" x14ac:dyDescent="0.2">
      <c r="A529" s="114">
        <v>2018</v>
      </c>
      <c r="B529" s="114">
        <f t="shared" si="312"/>
        <v>0</v>
      </c>
      <c r="C529" s="72">
        <f t="shared" si="313"/>
        <v>0</v>
      </c>
      <c r="D529" s="115" t="e">
        <f t="shared" ref="D529:I529" si="325">D413</f>
        <v>#N/A</v>
      </c>
      <c r="E529" s="115" t="e">
        <f t="shared" si="325"/>
        <v>#N/A</v>
      </c>
      <c r="F529" s="115" t="e">
        <f t="shared" si="325"/>
        <v>#N/A</v>
      </c>
      <c r="G529" s="115" t="e">
        <f t="shared" si="325"/>
        <v>#N/A</v>
      </c>
      <c r="H529" s="115" t="e">
        <f t="shared" si="325"/>
        <v>#N/A</v>
      </c>
      <c r="I529" s="115">
        <f t="shared" si="325"/>
        <v>0</v>
      </c>
      <c r="J529" s="115">
        <f t="shared" ref="J529:Z529" si="326">J413</f>
        <v>0</v>
      </c>
      <c r="K529" s="115">
        <f t="shared" si="326"/>
        <v>0</v>
      </c>
      <c r="L529" s="115">
        <f t="shared" si="326"/>
        <v>0</v>
      </c>
      <c r="M529" s="115">
        <f t="shared" si="326"/>
        <v>0</v>
      </c>
      <c r="N529" s="115">
        <f t="shared" si="326"/>
        <v>0</v>
      </c>
      <c r="O529" s="115">
        <f t="shared" si="326"/>
        <v>0</v>
      </c>
      <c r="P529" s="115">
        <f t="shared" si="326"/>
        <v>0</v>
      </c>
      <c r="Q529" s="115">
        <f t="shared" si="326"/>
        <v>0</v>
      </c>
      <c r="R529" s="115">
        <f t="shared" si="326"/>
        <v>0</v>
      </c>
      <c r="S529" s="115">
        <f t="shared" si="326"/>
        <v>0</v>
      </c>
      <c r="T529" s="115">
        <f t="shared" si="326"/>
        <v>0</v>
      </c>
      <c r="U529" s="115">
        <f t="shared" si="326"/>
        <v>0</v>
      </c>
      <c r="V529" s="115">
        <f t="shared" si="326"/>
        <v>0</v>
      </c>
      <c r="W529" s="115">
        <f t="shared" si="326"/>
        <v>0</v>
      </c>
      <c r="X529" s="115">
        <f t="shared" si="326"/>
        <v>0</v>
      </c>
      <c r="Y529" s="115">
        <f t="shared" si="326"/>
        <v>0</v>
      </c>
      <c r="Z529" s="115">
        <f t="shared" si="326"/>
        <v>0</v>
      </c>
    </row>
    <row r="530" spans="1:26" x14ac:dyDescent="0.2">
      <c r="A530" s="114">
        <v>2019</v>
      </c>
      <c r="B530" s="114">
        <f t="shared" si="312"/>
        <v>0</v>
      </c>
      <c r="C530" s="72">
        <f t="shared" si="313"/>
        <v>0</v>
      </c>
      <c r="D530" s="115" t="e">
        <f t="shared" ref="D530:I530" si="327">D435</f>
        <v>#N/A</v>
      </c>
      <c r="E530" s="115" t="e">
        <f t="shared" si="327"/>
        <v>#N/A</v>
      </c>
      <c r="F530" s="115" t="e">
        <f t="shared" si="327"/>
        <v>#N/A</v>
      </c>
      <c r="G530" s="115" t="e">
        <f t="shared" si="327"/>
        <v>#N/A</v>
      </c>
      <c r="H530" s="115" t="e">
        <f t="shared" si="327"/>
        <v>#N/A</v>
      </c>
      <c r="I530" s="115" t="e">
        <f t="shared" si="327"/>
        <v>#N/A</v>
      </c>
      <c r="J530" s="115">
        <f t="shared" ref="J530:Z530" si="328">J435</f>
        <v>0</v>
      </c>
      <c r="K530" s="115">
        <f t="shared" si="328"/>
        <v>0</v>
      </c>
      <c r="L530" s="115">
        <f t="shared" si="328"/>
        <v>0</v>
      </c>
      <c r="M530" s="115">
        <f t="shared" si="328"/>
        <v>0</v>
      </c>
      <c r="N530" s="115">
        <f t="shared" si="328"/>
        <v>0</v>
      </c>
      <c r="O530" s="115">
        <f t="shared" si="328"/>
        <v>0</v>
      </c>
      <c r="P530" s="115">
        <f t="shared" si="328"/>
        <v>0</v>
      </c>
      <c r="Q530" s="115">
        <f t="shared" si="328"/>
        <v>0</v>
      </c>
      <c r="R530" s="115">
        <f t="shared" si="328"/>
        <v>0</v>
      </c>
      <c r="S530" s="115">
        <f t="shared" si="328"/>
        <v>0</v>
      </c>
      <c r="T530" s="115">
        <f t="shared" si="328"/>
        <v>0</v>
      </c>
      <c r="U530" s="115">
        <f t="shared" si="328"/>
        <v>0</v>
      </c>
      <c r="V530" s="115">
        <f t="shared" si="328"/>
        <v>0</v>
      </c>
      <c r="W530" s="115">
        <f t="shared" si="328"/>
        <v>0</v>
      </c>
      <c r="X530" s="115">
        <f t="shared" si="328"/>
        <v>0</v>
      </c>
      <c r="Y530" s="115">
        <f t="shared" si="328"/>
        <v>0</v>
      </c>
      <c r="Z530" s="115">
        <f t="shared" si="328"/>
        <v>0</v>
      </c>
    </row>
    <row r="531" spans="1:26" x14ac:dyDescent="0.2">
      <c r="A531" s="114">
        <v>2020</v>
      </c>
      <c r="B531" s="114">
        <f t="shared" si="312"/>
        <v>0</v>
      </c>
      <c r="C531" s="72">
        <f t="shared" si="313"/>
        <v>0</v>
      </c>
      <c r="D531" s="115" t="e">
        <f t="shared" ref="D531:I531" si="329">D457</f>
        <v>#N/A</v>
      </c>
      <c r="E531" s="115" t="e">
        <f t="shared" si="329"/>
        <v>#N/A</v>
      </c>
      <c r="F531" s="115" t="e">
        <f t="shared" si="329"/>
        <v>#N/A</v>
      </c>
      <c r="G531" s="115" t="e">
        <f t="shared" si="329"/>
        <v>#N/A</v>
      </c>
      <c r="H531" s="115" t="e">
        <f t="shared" si="329"/>
        <v>#N/A</v>
      </c>
      <c r="I531" s="115" t="e">
        <f t="shared" si="329"/>
        <v>#N/A</v>
      </c>
      <c r="J531" s="115" t="e">
        <f t="shared" ref="J531:Z531" si="330">J457</f>
        <v>#N/A</v>
      </c>
      <c r="K531" s="115">
        <f t="shared" si="330"/>
        <v>0</v>
      </c>
      <c r="L531" s="115">
        <f t="shared" si="330"/>
        <v>0</v>
      </c>
      <c r="M531" s="115">
        <f t="shared" si="330"/>
        <v>0</v>
      </c>
      <c r="N531" s="115">
        <f t="shared" si="330"/>
        <v>0</v>
      </c>
      <c r="O531" s="115">
        <f t="shared" si="330"/>
        <v>0</v>
      </c>
      <c r="P531" s="115">
        <f t="shared" si="330"/>
        <v>0</v>
      </c>
      <c r="Q531" s="115">
        <f t="shared" si="330"/>
        <v>0</v>
      </c>
      <c r="R531" s="115">
        <f t="shared" si="330"/>
        <v>0</v>
      </c>
      <c r="S531" s="115">
        <f t="shared" si="330"/>
        <v>0</v>
      </c>
      <c r="T531" s="115">
        <f t="shared" si="330"/>
        <v>0</v>
      </c>
      <c r="U531" s="115">
        <f t="shared" si="330"/>
        <v>0</v>
      </c>
      <c r="V531" s="115">
        <f t="shared" si="330"/>
        <v>0</v>
      </c>
      <c r="W531" s="115">
        <f t="shared" si="330"/>
        <v>0</v>
      </c>
      <c r="X531" s="115">
        <f t="shared" si="330"/>
        <v>0</v>
      </c>
      <c r="Y531" s="115">
        <f t="shared" si="330"/>
        <v>0</v>
      </c>
      <c r="Z531" s="115">
        <f t="shared" si="330"/>
        <v>0</v>
      </c>
    </row>
    <row r="532" spans="1:26" x14ac:dyDescent="0.2">
      <c r="A532" s="114">
        <v>2021</v>
      </c>
      <c r="B532" s="114">
        <f t="shared" si="312"/>
        <v>0</v>
      </c>
      <c r="C532" s="72">
        <f t="shared" si="313"/>
        <v>0</v>
      </c>
      <c r="D532" s="115" t="e">
        <f t="shared" ref="D532:I532" si="331">D479</f>
        <v>#N/A</v>
      </c>
      <c r="E532" s="115" t="e">
        <f t="shared" si="331"/>
        <v>#N/A</v>
      </c>
      <c r="F532" s="115" t="e">
        <f t="shared" si="331"/>
        <v>#N/A</v>
      </c>
      <c r="G532" s="115" t="e">
        <f t="shared" si="331"/>
        <v>#N/A</v>
      </c>
      <c r="H532" s="115" t="e">
        <f t="shared" si="331"/>
        <v>#N/A</v>
      </c>
      <c r="I532" s="115" t="e">
        <f t="shared" si="331"/>
        <v>#N/A</v>
      </c>
      <c r="J532" s="115" t="e">
        <f t="shared" ref="J532:Z532" si="332">J479</f>
        <v>#N/A</v>
      </c>
      <c r="K532" s="115" t="e">
        <f t="shared" si="332"/>
        <v>#N/A</v>
      </c>
      <c r="L532" s="115">
        <f t="shared" si="332"/>
        <v>0</v>
      </c>
      <c r="M532" s="115">
        <f t="shared" si="332"/>
        <v>0</v>
      </c>
      <c r="N532" s="115">
        <f t="shared" si="332"/>
        <v>0</v>
      </c>
      <c r="O532" s="115">
        <f t="shared" si="332"/>
        <v>0</v>
      </c>
      <c r="P532" s="115">
        <f t="shared" si="332"/>
        <v>0</v>
      </c>
      <c r="Q532" s="115">
        <f t="shared" si="332"/>
        <v>0</v>
      </c>
      <c r="R532" s="115">
        <f t="shared" si="332"/>
        <v>0</v>
      </c>
      <c r="S532" s="115">
        <f t="shared" si="332"/>
        <v>0</v>
      </c>
      <c r="T532" s="115">
        <f t="shared" si="332"/>
        <v>0</v>
      </c>
      <c r="U532" s="115">
        <f t="shared" si="332"/>
        <v>0</v>
      </c>
      <c r="V532" s="115">
        <f t="shared" si="332"/>
        <v>0</v>
      </c>
      <c r="W532" s="115">
        <f t="shared" si="332"/>
        <v>0</v>
      </c>
      <c r="X532" s="115">
        <f t="shared" si="332"/>
        <v>0</v>
      </c>
      <c r="Y532" s="115">
        <f t="shared" si="332"/>
        <v>0</v>
      </c>
      <c r="Z532" s="115">
        <f t="shared" si="332"/>
        <v>0</v>
      </c>
    </row>
    <row r="533" spans="1:26" x14ac:dyDescent="0.2">
      <c r="A533" s="114">
        <v>2022</v>
      </c>
      <c r="B533" s="114">
        <f t="shared" si="312"/>
        <v>0</v>
      </c>
      <c r="C533" s="72">
        <f t="shared" si="313"/>
        <v>0</v>
      </c>
      <c r="D533" s="115" t="e">
        <f t="shared" ref="D533:I533" si="333">D501</f>
        <v>#N/A</v>
      </c>
      <c r="E533" s="115" t="e">
        <f t="shared" si="333"/>
        <v>#N/A</v>
      </c>
      <c r="F533" s="115" t="e">
        <f t="shared" si="333"/>
        <v>#N/A</v>
      </c>
      <c r="G533" s="115" t="e">
        <f t="shared" si="333"/>
        <v>#N/A</v>
      </c>
      <c r="H533" s="115" t="e">
        <f t="shared" si="333"/>
        <v>#N/A</v>
      </c>
      <c r="I533" s="115" t="e">
        <f t="shared" si="333"/>
        <v>#N/A</v>
      </c>
      <c r="J533" s="115" t="e">
        <f t="shared" ref="J533:Z533" si="334">J501</f>
        <v>#N/A</v>
      </c>
      <c r="K533" s="115" t="e">
        <f t="shared" si="334"/>
        <v>#N/A</v>
      </c>
      <c r="L533" s="115" t="e">
        <f t="shared" si="334"/>
        <v>#N/A</v>
      </c>
      <c r="M533" s="115">
        <f t="shared" si="334"/>
        <v>0</v>
      </c>
      <c r="N533" s="115">
        <f t="shared" si="334"/>
        <v>0</v>
      </c>
      <c r="O533" s="115">
        <f t="shared" si="334"/>
        <v>0</v>
      </c>
      <c r="P533" s="115">
        <f t="shared" si="334"/>
        <v>0</v>
      </c>
      <c r="Q533" s="115">
        <f t="shared" si="334"/>
        <v>0</v>
      </c>
      <c r="R533" s="115">
        <f t="shared" si="334"/>
        <v>0</v>
      </c>
      <c r="S533" s="115">
        <f t="shared" si="334"/>
        <v>0</v>
      </c>
      <c r="T533" s="115">
        <f t="shared" si="334"/>
        <v>0</v>
      </c>
      <c r="U533" s="115">
        <f t="shared" si="334"/>
        <v>0</v>
      </c>
      <c r="V533" s="115">
        <f t="shared" si="334"/>
        <v>0</v>
      </c>
      <c r="W533" s="115">
        <f t="shared" si="334"/>
        <v>0</v>
      </c>
      <c r="X533" s="115">
        <f t="shared" si="334"/>
        <v>0</v>
      </c>
      <c r="Y533" s="115">
        <f t="shared" si="334"/>
        <v>0</v>
      </c>
      <c r="Z533" s="115">
        <f t="shared" si="334"/>
        <v>0</v>
      </c>
    </row>
    <row r="534" spans="1:26" x14ac:dyDescent="0.2">
      <c r="A534" s="114">
        <v>2023</v>
      </c>
      <c r="B534" s="114">
        <f t="shared" si="312"/>
        <v>0</v>
      </c>
      <c r="C534" s="72">
        <f t="shared" si="313"/>
        <v>0</v>
      </c>
      <c r="D534" s="115" t="e">
        <f t="shared" ref="D534:I534" si="335">D523</f>
        <v>#N/A</v>
      </c>
      <c r="E534" s="115" t="e">
        <f t="shared" si="335"/>
        <v>#N/A</v>
      </c>
      <c r="F534" s="115" t="e">
        <f t="shared" si="335"/>
        <v>#N/A</v>
      </c>
      <c r="G534" s="115" t="e">
        <f t="shared" si="335"/>
        <v>#N/A</v>
      </c>
      <c r="H534" s="115" t="e">
        <f t="shared" si="335"/>
        <v>#N/A</v>
      </c>
      <c r="I534" s="115" t="e">
        <f t="shared" si="335"/>
        <v>#N/A</v>
      </c>
      <c r="J534" s="115" t="e">
        <f t="shared" ref="J534:Z534" si="336">J523</f>
        <v>#N/A</v>
      </c>
      <c r="K534" s="115" t="e">
        <f t="shared" si="336"/>
        <v>#N/A</v>
      </c>
      <c r="L534" s="115" t="e">
        <f t="shared" si="336"/>
        <v>#N/A</v>
      </c>
      <c r="M534" s="115" t="e">
        <f t="shared" si="336"/>
        <v>#N/A</v>
      </c>
      <c r="N534" s="115">
        <f t="shared" si="336"/>
        <v>0</v>
      </c>
      <c r="O534" s="115">
        <f t="shared" si="336"/>
        <v>0</v>
      </c>
      <c r="P534" s="115">
        <f t="shared" si="336"/>
        <v>0</v>
      </c>
      <c r="Q534" s="115">
        <f t="shared" si="336"/>
        <v>0</v>
      </c>
      <c r="R534" s="115">
        <f t="shared" si="336"/>
        <v>0</v>
      </c>
      <c r="S534" s="115">
        <f t="shared" si="336"/>
        <v>0</v>
      </c>
      <c r="T534" s="115">
        <f t="shared" si="336"/>
        <v>0</v>
      </c>
      <c r="U534" s="115">
        <f t="shared" si="336"/>
        <v>0</v>
      </c>
      <c r="V534" s="115">
        <f t="shared" si="336"/>
        <v>0</v>
      </c>
      <c r="W534" s="115">
        <f t="shared" si="336"/>
        <v>0</v>
      </c>
      <c r="X534" s="115">
        <f t="shared" si="336"/>
        <v>0</v>
      </c>
      <c r="Y534" s="115">
        <f t="shared" si="336"/>
        <v>0</v>
      </c>
      <c r="Z534" s="115">
        <f t="shared" si="336"/>
        <v>0</v>
      </c>
    </row>
    <row r="535" spans="1:26" ht="12.75" customHeight="1" x14ac:dyDescent="0.2">
      <c r="A535" s="116" t="e">
        <f>npv_year_zero&amp; " NPV Plot"</f>
        <v>#N/A</v>
      </c>
      <c r="B535" s="116">
        <f t="shared" si="312"/>
        <v>0</v>
      </c>
      <c r="C535" s="117">
        <f t="shared" si="313"/>
        <v>0</v>
      </c>
      <c r="D535" s="118" t="e">
        <f>VLOOKUP(npv_year_zero,$A$524:D534,COLUMN(D2))</f>
        <v>#N/A</v>
      </c>
      <c r="E535" s="118" t="e">
        <f>VLOOKUP(npv_year_zero,$A$524:E534,COLUMN(E2))</f>
        <v>#N/A</v>
      </c>
      <c r="F535" s="118" t="e">
        <f>VLOOKUP(npv_year_zero,$A$524:F534,COLUMN(F2))</f>
        <v>#N/A</v>
      </c>
      <c r="G535" s="118" t="e">
        <f>VLOOKUP(npv_year_zero,$A$524:G534,COLUMN(G2))</f>
        <v>#N/A</v>
      </c>
      <c r="H535" s="118" t="e">
        <f>VLOOKUP(npv_year_zero,$A$524:H534,COLUMN(H2))</f>
        <v>#N/A</v>
      </c>
      <c r="I535" s="118" t="e">
        <f>VLOOKUP(npv_year_zero,$A$524:I534,COLUMN(I2))</f>
        <v>#N/A</v>
      </c>
      <c r="J535" s="118" t="e">
        <f>VLOOKUP(npv_year_zero,$A$524:J534,COLUMN(J2))</f>
        <v>#N/A</v>
      </c>
      <c r="K535" s="118" t="e">
        <f>VLOOKUP(npv_year_zero,$A$524:K534,COLUMN(K2))</f>
        <v>#N/A</v>
      </c>
      <c r="L535" s="118" t="e">
        <f>VLOOKUP(npv_year_zero,$A$524:L534,COLUMN(L2))</f>
        <v>#N/A</v>
      </c>
      <c r="M535" s="118" t="e">
        <f>VLOOKUP(npv_year_zero,$A$524:M534,COLUMN(M2))</f>
        <v>#N/A</v>
      </c>
      <c r="N535" s="118" t="e">
        <f>VLOOKUP(npv_year_zero,$A$524:N534,COLUMN(N2))</f>
        <v>#N/A</v>
      </c>
      <c r="O535" s="118" t="e">
        <f>VLOOKUP(npv_year_zero,$A$524:O534,COLUMN(O2))</f>
        <v>#N/A</v>
      </c>
      <c r="P535" s="118" t="e">
        <f>VLOOKUP(npv_year_zero,$A$524:P534,COLUMN(P2))</f>
        <v>#N/A</v>
      </c>
      <c r="Q535" s="118" t="e">
        <f>VLOOKUP(npv_year_zero,$A$524:Q534,COLUMN(Q2))</f>
        <v>#N/A</v>
      </c>
      <c r="R535" s="118" t="e">
        <f>VLOOKUP(npv_year_zero,$A$524:R534,COLUMN(R2))</f>
        <v>#N/A</v>
      </c>
      <c r="S535" s="118" t="e">
        <f>VLOOKUP(npv_year_zero,$A$524:S534,COLUMN(S2))</f>
        <v>#N/A</v>
      </c>
      <c r="T535" s="118" t="e">
        <f>VLOOKUP(npv_year_zero,$A$524:T534,COLUMN(T2))</f>
        <v>#N/A</v>
      </c>
      <c r="U535" s="118" t="e">
        <f>VLOOKUP(npv_year_zero,$A$524:U534,COLUMN(U2))</f>
        <v>#N/A</v>
      </c>
      <c r="V535" s="118" t="e">
        <f>VLOOKUP(npv_year_zero,$A$524:V534,COLUMN(V2))</f>
        <v>#N/A</v>
      </c>
      <c r="W535" s="118" t="e">
        <f>VLOOKUP(npv_year_zero,$A$524:W534,COLUMN(W2))</f>
        <v>#N/A</v>
      </c>
      <c r="X535" s="118" t="e">
        <f>VLOOKUP(npv_year_zero,$A$524:X534,COLUMN(X2))</f>
        <v>#N/A</v>
      </c>
      <c r="Y535" s="118" t="e">
        <f>VLOOKUP(npv_year_zero,$A$524:Y534,COLUMN(Y2))</f>
        <v>#N/A</v>
      </c>
      <c r="Z535" s="118" t="e">
        <f>VLOOKUP(npv_year_zero,$A$524:Z534,COLUMN(Z2))</f>
        <v>#N/A</v>
      </c>
    </row>
  </sheetData>
  <sheetProtection password="CA52" sheet="1" objects="1" selectLockedCells="1" pivotTables="0"/>
  <mergeCells count="212">
    <mergeCell ref="A502:A519"/>
    <mergeCell ref="B502:B504"/>
    <mergeCell ref="B505:B507"/>
    <mergeCell ref="B508:B510"/>
    <mergeCell ref="B511:B513"/>
    <mergeCell ref="B514:B516"/>
    <mergeCell ref="B517:B519"/>
    <mergeCell ref="A520:A522"/>
    <mergeCell ref="B520:B522"/>
    <mergeCell ref="A480:A497"/>
    <mergeCell ref="B480:B482"/>
    <mergeCell ref="B483:B485"/>
    <mergeCell ref="B486:B488"/>
    <mergeCell ref="B489:B491"/>
    <mergeCell ref="B492:B494"/>
    <mergeCell ref="B495:B497"/>
    <mergeCell ref="A498:A500"/>
    <mergeCell ref="B498:B500"/>
    <mergeCell ref="A458:A475"/>
    <mergeCell ref="B458:B460"/>
    <mergeCell ref="B461:B463"/>
    <mergeCell ref="B464:B466"/>
    <mergeCell ref="B467:B469"/>
    <mergeCell ref="B470:B472"/>
    <mergeCell ref="B473:B475"/>
    <mergeCell ref="A476:A478"/>
    <mergeCell ref="B476:B478"/>
    <mergeCell ref="A436:A453"/>
    <mergeCell ref="B436:B438"/>
    <mergeCell ref="B439:B441"/>
    <mergeCell ref="B442:B444"/>
    <mergeCell ref="B445:B447"/>
    <mergeCell ref="B448:B450"/>
    <mergeCell ref="B451:B453"/>
    <mergeCell ref="A454:A456"/>
    <mergeCell ref="B454:B456"/>
    <mergeCell ref="A414:A431"/>
    <mergeCell ref="B414:B416"/>
    <mergeCell ref="B417:B419"/>
    <mergeCell ref="B420:B422"/>
    <mergeCell ref="B423:B425"/>
    <mergeCell ref="B426:B428"/>
    <mergeCell ref="B429:B431"/>
    <mergeCell ref="A432:A434"/>
    <mergeCell ref="B432:B434"/>
    <mergeCell ref="A392:A409"/>
    <mergeCell ref="B392:B394"/>
    <mergeCell ref="B395:B397"/>
    <mergeCell ref="B398:B400"/>
    <mergeCell ref="B401:B403"/>
    <mergeCell ref="B404:B406"/>
    <mergeCell ref="B407:B409"/>
    <mergeCell ref="A410:A412"/>
    <mergeCell ref="B410:B412"/>
    <mergeCell ref="A370:A387"/>
    <mergeCell ref="B370:B372"/>
    <mergeCell ref="B373:B375"/>
    <mergeCell ref="B376:B378"/>
    <mergeCell ref="B379:B381"/>
    <mergeCell ref="B382:B384"/>
    <mergeCell ref="B385:B387"/>
    <mergeCell ref="A388:A390"/>
    <mergeCell ref="B388:B390"/>
    <mergeCell ref="A348:A365"/>
    <mergeCell ref="B348:B350"/>
    <mergeCell ref="B351:B353"/>
    <mergeCell ref="B354:B356"/>
    <mergeCell ref="B357:B359"/>
    <mergeCell ref="B360:B362"/>
    <mergeCell ref="B363:B365"/>
    <mergeCell ref="A366:A368"/>
    <mergeCell ref="B366:B368"/>
    <mergeCell ref="A326:A343"/>
    <mergeCell ref="B326:B328"/>
    <mergeCell ref="B329:B331"/>
    <mergeCell ref="B332:B334"/>
    <mergeCell ref="B335:B337"/>
    <mergeCell ref="B338:B340"/>
    <mergeCell ref="B341:B343"/>
    <mergeCell ref="A344:A346"/>
    <mergeCell ref="B344:B346"/>
    <mergeCell ref="B278:B280"/>
    <mergeCell ref="A304:A321"/>
    <mergeCell ref="B304:B306"/>
    <mergeCell ref="B307:B309"/>
    <mergeCell ref="B310:B312"/>
    <mergeCell ref="B313:B315"/>
    <mergeCell ref="B316:B318"/>
    <mergeCell ref="B319:B321"/>
    <mergeCell ref="B282:B284"/>
    <mergeCell ref="A260:A277"/>
    <mergeCell ref="B260:B262"/>
    <mergeCell ref="A322:A324"/>
    <mergeCell ref="B322:B324"/>
    <mergeCell ref="A230:A232"/>
    <mergeCell ref="B230:B232"/>
    <mergeCell ref="A233:A235"/>
    <mergeCell ref="B233:B235"/>
    <mergeCell ref="A300:A302"/>
    <mergeCell ref="B300:B302"/>
    <mergeCell ref="A282:A299"/>
    <mergeCell ref="B285:B287"/>
    <mergeCell ref="B288:B290"/>
    <mergeCell ref="B291:B293"/>
    <mergeCell ref="B294:B296"/>
    <mergeCell ref="B297:B299"/>
    <mergeCell ref="A256:A258"/>
    <mergeCell ref="B256:B258"/>
    <mergeCell ref="B263:B265"/>
    <mergeCell ref="B266:B268"/>
    <mergeCell ref="B269:B271"/>
    <mergeCell ref="B272:B274"/>
    <mergeCell ref="B275:B277"/>
    <mergeCell ref="A278:A280"/>
    <mergeCell ref="B217:B219"/>
    <mergeCell ref="B220:B222"/>
    <mergeCell ref="B223:B225"/>
    <mergeCell ref="B244:B246"/>
    <mergeCell ref="B247:B249"/>
    <mergeCell ref="B250:B252"/>
    <mergeCell ref="B253:B255"/>
    <mergeCell ref="A238:A255"/>
    <mergeCell ref="B91:B93"/>
    <mergeCell ref="B94:B96"/>
    <mergeCell ref="A106:A123"/>
    <mergeCell ref="B127:B129"/>
    <mergeCell ref="B130:B132"/>
    <mergeCell ref="B133:B135"/>
    <mergeCell ref="B100:B102"/>
    <mergeCell ref="B97:B99"/>
    <mergeCell ref="B106:B108"/>
    <mergeCell ref="B109:B111"/>
    <mergeCell ref="B112:B114"/>
    <mergeCell ref="B115:B117"/>
    <mergeCell ref="B118:B120"/>
    <mergeCell ref="B121:B123"/>
    <mergeCell ref="B190:B192"/>
    <mergeCell ref="B142:B144"/>
    <mergeCell ref="A70:A87"/>
    <mergeCell ref="B85:B87"/>
    <mergeCell ref="A88:A105"/>
    <mergeCell ref="B88:B90"/>
    <mergeCell ref="B70:B72"/>
    <mergeCell ref="B73:B75"/>
    <mergeCell ref="B76:B78"/>
    <mergeCell ref="B79:B81"/>
    <mergeCell ref="B103:B105"/>
    <mergeCell ref="B82:B84"/>
    <mergeCell ref="A4:A7"/>
    <mergeCell ref="A40:A43"/>
    <mergeCell ref="B40:B51"/>
    <mergeCell ref="A44:A47"/>
    <mergeCell ref="A48:A51"/>
    <mergeCell ref="A8:A11"/>
    <mergeCell ref="A12:A15"/>
    <mergeCell ref="B4:B15"/>
    <mergeCell ref="A20:A23"/>
    <mergeCell ref="A24:A27"/>
    <mergeCell ref="B28:B39"/>
    <mergeCell ref="A32:A35"/>
    <mergeCell ref="A36:A39"/>
    <mergeCell ref="A16:A19"/>
    <mergeCell ref="B16:B27"/>
    <mergeCell ref="A28:A31"/>
    <mergeCell ref="B64:B65"/>
    <mergeCell ref="B66:B67"/>
    <mergeCell ref="A56:A57"/>
    <mergeCell ref="B58:B59"/>
    <mergeCell ref="A58:A69"/>
    <mergeCell ref="B68:B69"/>
    <mergeCell ref="B60:B61"/>
    <mergeCell ref="B56:B57"/>
    <mergeCell ref="B62:B63"/>
    <mergeCell ref="B187:B189"/>
    <mergeCell ref="B160:B162"/>
    <mergeCell ref="B163:B165"/>
    <mergeCell ref="B166:B168"/>
    <mergeCell ref="B169:B171"/>
    <mergeCell ref="A124:A141"/>
    <mergeCell ref="A142:A144"/>
    <mergeCell ref="A146:A148"/>
    <mergeCell ref="A154:A171"/>
    <mergeCell ref="B146:B148"/>
    <mergeCell ref="B124:B126"/>
    <mergeCell ref="B154:B156"/>
    <mergeCell ref="B157:B159"/>
    <mergeCell ref="B136:B138"/>
    <mergeCell ref="B139:B141"/>
    <mergeCell ref="B181:B183"/>
    <mergeCell ref="A52:A55"/>
    <mergeCell ref="B52:B55"/>
    <mergeCell ref="A226:A228"/>
    <mergeCell ref="B226:B228"/>
    <mergeCell ref="A208:A225"/>
    <mergeCell ref="B241:B243"/>
    <mergeCell ref="A172:A189"/>
    <mergeCell ref="B172:B174"/>
    <mergeCell ref="B175:B177"/>
    <mergeCell ref="B178:B180"/>
    <mergeCell ref="B238:B240"/>
    <mergeCell ref="B193:B195"/>
    <mergeCell ref="B196:B198"/>
    <mergeCell ref="B199:B201"/>
    <mergeCell ref="B208:B210"/>
    <mergeCell ref="B184:B186"/>
    <mergeCell ref="B211:B213"/>
    <mergeCell ref="B205:B207"/>
    <mergeCell ref="B214:B216"/>
    <mergeCell ref="B202:B204"/>
    <mergeCell ref="A149:A151"/>
    <mergeCell ref="B149:B151"/>
    <mergeCell ref="A190:A207"/>
  </mergeCells>
  <phoneticPr fontId="3"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240</vt:i4>
      </vt:variant>
    </vt:vector>
  </HeadingPairs>
  <TitlesOfParts>
    <vt:vector size="243" baseType="lpstr">
      <vt:lpstr>Introduction</vt:lpstr>
      <vt:lpstr>Calculator</vt:lpstr>
      <vt:lpstr>Hidden calcs1</vt:lpstr>
      <vt:lpstr>capex_ship1</vt:lpstr>
      <vt:lpstr>capex_ship2</vt:lpstr>
      <vt:lpstr>capex_ship3</vt:lpstr>
      <vt:lpstr>capex_ship4</vt:lpstr>
      <vt:lpstr>capex_ship5</vt:lpstr>
      <vt:lpstr>capex_ship6</vt:lpstr>
      <vt:lpstr>diff_2015_hi</vt:lpstr>
      <vt:lpstr>diff_2015_lo</vt:lpstr>
      <vt:lpstr>diff_2015_med</vt:lpstr>
      <vt:lpstr>diff_2020_hi</vt:lpstr>
      <vt:lpstr>diff_2020_lo</vt:lpstr>
      <vt:lpstr>diff_2020_med</vt:lpstr>
      <vt:lpstr>dr_hi_ship1</vt:lpstr>
      <vt:lpstr>dr_hi_ship2</vt:lpstr>
      <vt:lpstr>dr_hi_ship3</vt:lpstr>
      <vt:lpstr>dr_hi_ship4</vt:lpstr>
      <vt:lpstr>dr_hi_ship5</vt:lpstr>
      <vt:lpstr>dr_hi_ship6</vt:lpstr>
      <vt:lpstr>dr_lo_ship1</vt:lpstr>
      <vt:lpstr>dr_lo_ship2</vt:lpstr>
      <vt:lpstr>dr_lo_ship3</vt:lpstr>
      <vt:lpstr>dr_lo_ship4</vt:lpstr>
      <vt:lpstr>dr_lo_ship5</vt:lpstr>
      <vt:lpstr>dr_lo_ship6</vt:lpstr>
      <vt:lpstr>dr_med_ship1</vt:lpstr>
      <vt:lpstr>dr_med_ship2</vt:lpstr>
      <vt:lpstr>dr_med_ship3</vt:lpstr>
      <vt:lpstr>dr_med_ship4</vt:lpstr>
      <vt:lpstr>dr_med_ship5</vt:lpstr>
      <vt:lpstr>dr_med_ship6</vt:lpstr>
      <vt:lpstr>dr_plotted</vt:lpstr>
      <vt:lpstr>egcs_year_ship1</vt:lpstr>
      <vt:lpstr>egcs_year_ship2</vt:lpstr>
      <vt:lpstr>egcs_year_ship3</vt:lpstr>
      <vt:lpstr>egcs_year_ship4</vt:lpstr>
      <vt:lpstr>egcs_year_ship5</vt:lpstr>
      <vt:lpstr>egcs_year_ship6</vt:lpstr>
      <vt:lpstr>fuel_scenario_plot</vt:lpstr>
      <vt:lpstr>fuel_type_plot</vt:lpstr>
      <vt:lpstr>fuel_type1</vt:lpstr>
      <vt:lpstr>fuel_type1_0.1</vt:lpstr>
      <vt:lpstr>fuel_type1_0.5</vt:lpstr>
      <vt:lpstr>fuel_type1_1.0</vt:lpstr>
      <vt:lpstr>fuel_type1_cal0.1</vt:lpstr>
      <vt:lpstr>fuel_type1_cal0.5</vt:lpstr>
      <vt:lpstr>fuel_type1_cal1.0</vt:lpstr>
      <vt:lpstr>fuel_type1_scrubbed_ship1</vt:lpstr>
      <vt:lpstr>fuel_type1_scrubbed_ship2</vt:lpstr>
      <vt:lpstr>fuel_type1_scrubbed_ship3</vt:lpstr>
      <vt:lpstr>fuel_type1_scrubbed_ship4</vt:lpstr>
      <vt:lpstr>fuel_type1_scrubbed_ship5</vt:lpstr>
      <vt:lpstr>fuel_type1_scrubbed_ship6</vt:lpstr>
      <vt:lpstr>fuel_type1_today</vt:lpstr>
      <vt:lpstr>fuel_type2</vt:lpstr>
      <vt:lpstr>fuel_type2_0.1</vt:lpstr>
      <vt:lpstr>fuel_type2_0.5</vt:lpstr>
      <vt:lpstr>fuel_type2_1.0</vt:lpstr>
      <vt:lpstr>fuel_type2_cal0.1</vt:lpstr>
      <vt:lpstr>fuel_type2_cal0.5</vt:lpstr>
      <vt:lpstr>fuel_type2_cal1.0</vt:lpstr>
      <vt:lpstr>fuel_type2_scrubbed_ship1</vt:lpstr>
      <vt:lpstr>fuel_type2_scrubbed_ship2</vt:lpstr>
      <vt:lpstr>fuel_type2_scrubbed_ship3</vt:lpstr>
      <vt:lpstr>fuel_type2_scrubbed_ship4</vt:lpstr>
      <vt:lpstr>fuel_type2_scrubbed_ship5</vt:lpstr>
      <vt:lpstr>fuel_type2_scrubbed_ship6</vt:lpstr>
      <vt:lpstr>fuel_type2_today</vt:lpstr>
      <vt:lpstr>fuel_type3</vt:lpstr>
      <vt:lpstr>fuel_type3_0.1</vt:lpstr>
      <vt:lpstr>fuel_type3_0.5</vt:lpstr>
      <vt:lpstr>fuel_type3_1.0</vt:lpstr>
      <vt:lpstr>fuel_type3_cal0.1</vt:lpstr>
      <vt:lpstr>fuel_type3_cal0.5</vt:lpstr>
      <vt:lpstr>fuel_type3_cal1.0</vt:lpstr>
      <vt:lpstr>fuel_type3_scrubbed_ship1</vt:lpstr>
      <vt:lpstr>fuel_type3_scrubbed_ship2</vt:lpstr>
      <vt:lpstr>fuel_type3_scrubbed_ship3</vt:lpstr>
      <vt:lpstr>fuel_type3_scrubbed_ship4</vt:lpstr>
      <vt:lpstr>fuel_type3_scrubbed_ship5</vt:lpstr>
      <vt:lpstr>fuel_type3_scrubbed_ship6</vt:lpstr>
      <vt:lpstr>fuel_type3_today</vt:lpstr>
      <vt:lpstr>fuel_type4</vt:lpstr>
      <vt:lpstr>fuel_type4_0.1</vt:lpstr>
      <vt:lpstr>fuel_type4_0.5</vt:lpstr>
      <vt:lpstr>fuel_type4_1.0</vt:lpstr>
      <vt:lpstr>fuel_type4_cal0.1</vt:lpstr>
      <vt:lpstr>fuel_type4_cal0.5</vt:lpstr>
      <vt:lpstr>fuel_type4_cal1.0</vt:lpstr>
      <vt:lpstr>fuel_type4_scrubbed_ship1</vt:lpstr>
      <vt:lpstr>fuel_type4_scrubbed_ship2</vt:lpstr>
      <vt:lpstr>fuel_type4_scrubbed_ship3</vt:lpstr>
      <vt:lpstr>fuel_type4_scrubbed_ship4</vt:lpstr>
      <vt:lpstr>fuel_type4_scrubbed_ship5</vt:lpstr>
      <vt:lpstr>fuel_type4_scrubbed_ship6</vt:lpstr>
      <vt:lpstr>fuel_type4_today</vt:lpstr>
      <vt:lpstr>global0.5</vt:lpstr>
      <vt:lpstr>increase_hi</vt:lpstr>
      <vt:lpstr>increase_lo</vt:lpstr>
      <vt:lpstr>increase_med</vt:lpstr>
      <vt:lpstr>mach_egcs_ship1</vt:lpstr>
      <vt:lpstr>mach_egcs_ship2</vt:lpstr>
      <vt:lpstr>mach_egcs_ship3</vt:lpstr>
      <vt:lpstr>mach_egcs_ship4</vt:lpstr>
      <vt:lpstr>mach_egcs_ship5</vt:lpstr>
      <vt:lpstr>mach_egcs_ship6</vt:lpstr>
      <vt:lpstr>mode1</vt:lpstr>
      <vt:lpstr>mode2</vt:lpstr>
      <vt:lpstr>mode3</vt:lpstr>
      <vt:lpstr>mode4</vt:lpstr>
      <vt:lpstr>mode5</vt:lpstr>
      <vt:lpstr>npv_year_zero</vt:lpstr>
      <vt:lpstr>opex_fixed_ship1</vt:lpstr>
      <vt:lpstr>opex_fixed_ship2</vt:lpstr>
      <vt:lpstr>opex_fixed_ship3</vt:lpstr>
      <vt:lpstr>opex_fixed_ship4</vt:lpstr>
      <vt:lpstr>opex_fixed_ship5</vt:lpstr>
      <vt:lpstr>opex_fixed_ship6</vt:lpstr>
      <vt:lpstr>opex_variable_ship1</vt:lpstr>
      <vt:lpstr>opex_variable_ship2</vt:lpstr>
      <vt:lpstr>opex_variable_ship3</vt:lpstr>
      <vt:lpstr>opex_variable_ship4</vt:lpstr>
      <vt:lpstr>opex_variable_ship5</vt:lpstr>
      <vt:lpstr>opex_variable_ship6</vt:lpstr>
      <vt:lpstr>payback</vt:lpstr>
      <vt:lpstr>power_egcs_ship1</vt:lpstr>
      <vt:lpstr>power_egcs_ship2</vt:lpstr>
      <vt:lpstr>power_egcs_ship3</vt:lpstr>
      <vt:lpstr>power_egcs_ship4</vt:lpstr>
      <vt:lpstr>power_egcs_ship5</vt:lpstr>
      <vt:lpstr>power_egcs_ship6</vt:lpstr>
      <vt:lpstr>Calculator!Print_Area</vt:lpstr>
      <vt:lpstr>Introduction!Print_Area</vt:lpstr>
      <vt:lpstr>scenario_display</vt:lpstr>
      <vt:lpstr>ship_plot</vt:lpstr>
      <vt:lpstr>ship1</vt:lpstr>
      <vt:lpstr>ship1_fuel_type1</vt:lpstr>
      <vt:lpstr>ship1_fuel_type1_added</vt:lpstr>
      <vt:lpstr>ship1_fuel_type2</vt:lpstr>
      <vt:lpstr>ship1_fuel_type2_added</vt:lpstr>
      <vt:lpstr>ship1_fuel_type3</vt:lpstr>
      <vt:lpstr>ship1_fuel_type3_added</vt:lpstr>
      <vt:lpstr>ship1_fuel_type4</vt:lpstr>
      <vt:lpstr>ship1_fuel_type4_added</vt:lpstr>
      <vt:lpstr>ship1_ifo180</vt:lpstr>
      <vt:lpstr>ship1_ifo380</vt:lpstr>
      <vt:lpstr>ship1_mdo</vt:lpstr>
      <vt:lpstr>ship1_mgo</vt:lpstr>
      <vt:lpstr>ship1_timeECA</vt:lpstr>
      <vt:lpstr>ship2</vt:lpstr>
      <vt:lpstr>ship2_fuel_type1</vt:lpstr>
      <vt:lpstr>ship2_fuel_type1_added</vt:lpstr>
      <vt:lpstr>ship2_fuel_type1_withS</vt:lpstr>
      <vt:lpstr>ship2_fuel_type2</vt:lpstr>
      <vt:lpstr>ship2_fuel_type2_added</vt:lpstr>
      <vt:lpstr>ship2_fuel_type2_withS</vt:lpstr>
      <vt:lpstr>ship2_fuel_type3</vt:lpstr>
      <vt:lpstr>ship2_fuel_type3_added</vt:lpstr>
      <vt:lpstr>ship2_fuel_type3_withS</vt:lpstr>
      <vt:lpstr>ship2_fuel_type4</vt:lpstr>
      <vt:lpstr>ship2_fuel_type4_added</vt:lpstr>
      <vt:lpstr>ship2_fuel_type4_withS</vt:lpstr>
      <vt:lpstr>ship2_ifo180</vt:lpstr>
      <vt:lpstr>ship2_ifo380</vt:lpstr>
      <vt:lpstr>ship2_mdo</vt:lpstr>
      <vt:lpstr>ship2_mgo</vt:lpstr>
      <vt:lpstr>ship2_timeECA</vt:lpstr>
      <vt:lpstr>ship3</vt:lpstr>
      <vt:lpstr>ship3_fuel_type1</vt:lpstr>
      <vt:lpstr>ship3_fuel_type1_added</vt:lpstr>
      <vt:lpstr>ship3_fuel_type1_withS</vt:lpstr>
      <vt:lpstr>ship3_fuel_type2</vt:lpstr>
      <vt:lpstr>ship3_fuel_type2_added</vt:lpstr>
      <vt:lpstr>ship3_fuel_type2_withS</vt:lpstr>
      <vt:lpstr>ship3_fuel_type3</vt:lpstr>
      <vt:lpstr>ship3_fuel_type3_added</vt:lpstr>
      <vt:lpstr>ship3_fuel_type3_withS</vt:lpstr>
      <vt:lpstr>ship3_fuel_type4</vt:lpstr>
      <vt:lpstr>ship3_fuel_type4_added</vt:lpstr>
      <vt:lpstr>ship3_fuel_type4_withS</vt:lpstr>
      <vt:lpstr>ship3_ifo180</vt:lpstr>
      <vt:lpstr>ship3_ifo380</vt:lpstr>
      <vt:lpstr>ship3_mdo</vt:lpstr>
      <vt:lpstr>ship3_mgo</vt:lpstr>
      <vt:lpstr>ship3_timeECA</vt:lpstr>
      <vt:lpstr>ship4</vt:lpstr>
      <vt:lpstr>ship4_fuel_type1</vt:lpstr>
      <vt:lpstr>ship4_fuel_type1_added</vt:lpstr>
      <vt:lpstr>ship4_fuel_type1_withS</vt:lpstr>
      <vt:lpstr>ship4_fuel_type2</vt:lpstr>
      <vt:lpstr>ship4_fuel_type2_added</vt:lpstr>
      <vt:lpstr>ship4_fuel_type2_withS</vt:lpstr>
      <vt:lpstr>ship4_fuel_type3</vt:lpstr>
      <vt:lpstr>ship4_fuel_type3_added</vt:lpstr>
      <vt:lpstr>ship4_fuel_type3_withS</vt:lpstr>
      <vt:lpstr>ship4_fuel_type4</vt:lpstr>
      <vt:lpstr>ship4_fuel_type4_added</vt:lpstr>
      <vt:lpstr>ship4_fuel_type4_withS</vt:lpstr>
      <vt:lpstr>ship4_ifo180</vt:lpstr>
      <vt:lpstr>ship4_ifo380</vt:lpstr>
      <vt:lpstr>ship4_mdo</vt:lpstr>
      <vt:lpstr>ship4_mgo</vt:lpstr>
      <vt:lpstr>ship4_timeECA</vt:lpstr>
      <vt:lpstr>ship5</vt:lpstr>
      <vt:lpstr>ship5_fuel_type1</vt:lpstr>
      <vt:lpstr>ship5_fuel_type1_added</vt:lpstr>
      <vt:lpstr>ship5_fuel_type1_withS</vt:lpstr>
      <vt:lpstr>ship5_fuel_type2</vt:lpstr>
      <vt:lpstr>ship5_fuel_type2_added</vt:lpstr>
      <vt:lpstr>ship5_fuel_type2_withS</vt:lpstr>
      <vt:lpstr>ship5_fuel_type3</vt:lpstr>
      <vt:lpstr>ship5_fuel_type3_added</vt:lpstr>
      <vt:lpstr>ship5_fuel_type3_withS</vt:lpstr>
      <vt:lpstr>ship5_fuel_type4</vt:lpstr>
      <vt:lpstr>ship5_fuel_type4_added</vt:lpstr>
      <vt:lpstr>ship5_fuel_type4_withS</vt:lpstr>
      <vt:lpstr>ship5_ifo180</vt:lpstr>
      <vt:lpstr>ship5_ifo380</vt:lpstr>
      <vt:lpstr>ship5_mdo</vt:lpstr>
      <vt:lpstr>ship5_mgo</vt:lpstr>
      <vt:lpstr>ship5_timeECA</vt:lpstr>
      <vt:lpstr>ship6</vt:lpstr>
      <vt:lpstr>ship6_fuel_type1</vt:lpstr>
      <vt:lpstr>ship6_fuel_type1_added</vt:lpstr>
      <vt:lpstr>ship6_fuel_type1_withS</vt:lpstr>
      <vt:lpstr>ship6_fuel_type2</vt:lpstr>
      <vt:lpstr>ship6_fuel_type2_added</vt:lpstr>
      <vt:lpstr>ship6_fuel_type2_withS</vt:lpstr>
      <vt:lpstr>ship6_fuel_type3</vt:lpstr>
      <vt:lpstr>ship6_fuel_type3_added</vt:lpstr>
      <vt:lpstr>ship6_fuel_type3_withS</vt:lpstr>
      <vt:lpstr>ship6_fuel_type4</vt:lpstr>
      <vt:lpstr>ship6_fuel_type4_added</vt:lpstr>
      <vt:lpstr>ship6_fuel_type4_withS</vt:lpstr>
      <vt:lpstr>ship6_ifo180</vt:lpstr>
      <vt:lpstr>ship6_ifo380</vt:lpstr>
      <vt:lpstr>ship6_mdo</vt:lpstr>
      <vt:lpstr>ship6_mgo</vt:lpstr>
      <vt:lpstr>ship6_timeECA</vt:lpstr>
      <vt:lpstr>year_interrogation</vt:lpstr>
      <vt:lpstr>year_plot</vt:lpstr>
    </vt:vector>
  </TitlesOfParts>
  <Company>Lloyd's Register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tt8nvz</dc:creator>
  <cp:lastModifiedBy>TT8DAZ</cp:lastModifiedBy>
  <cp:lastPrinted>2012-05-22T10:38:27Z</cp:lastPrinted>
  <dcterms:created xsi:type="dcterms:W3CDTF">2011-01-19T17:19:33Z</dcterms:created>
  <dcterms:modified xsi:type="dcterms:W3CDTF">2014-04-22T09:37:38Z</dcterms:modified>
</cp:coreProperties>
</file>